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orningstaronline-my.sharepoint.com/personal/james_thorne_pitchbook_com/Documents/"/>
    </mc:Choice>
  </mc:AlternateContent>
  <xr:revisionPtr revIDLastSave="25" documentId="8_{D51A79F5-39AE-48F6-B576-6F9288B4F977}" xr6:coauthVersionLast="47" xr6:coauthVersionMax="47" xr10:uidLastSave="{B598035E-45BB-46F3-B873-B4797CBE9BA0}"/>
  <bookViews>
    <workbookView xWindow="25720" yWindow="-21600" windowWidth="25780" windowHeight="20970" tabRatio="500" xr2:uid="{00000000-000D-0000-FFFF-FFFF00000000}"/>
  </bookViews>
  <sheets>
    <sheet name="Data" sheetId="2" r:id="rId1"/>
    <sheet name="hidden_styles_1" sheetId="3" state="veryHidden" r:id="rId2"/>
  </sheets>
  <definedNames>
    <definedName name="_xlnm._FilterDatabase" localSheetId="0" hidden="1">Data!$A$6:$N$506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06" i="2" l="1"/>
  <c r="M506" i="2"/>
  <c r="N505" i="2"/>
  <c r="M505" i="2"/>
  <c r="N504" i="2"/>
  <c r="M504" i="2"/>
  <c r="N503" i="2"/>
  <c r="M503" i="2"/>
  <c r="N502" i="2"/>
  <c r="M502" i="2"/>
  <c r="N501" i="2"/>
  <c r="M501" i="2"/>
  <c r="N500" i="2"/>
  <c r="M500" i="2"/>
  <c r="N499" i="2"/>
  <c r="M499" i="2"/>
  <c r="N498" i="2"/>
  <c r="M498" i="2"/>
  <c r="N497" i="2"/>
  <c r="M497" i="2"/>
  <c r="N496" i="2"/>
  <c r="M496" i="2"/>
  <c r="N495" i="2"/>
  <c r="M495" i="2"/>
  <c r="N494" i="2"/>
  <c r="M494" i="2"/>
  <c r="N493" i="2"/>
  <c r="M493" i="2"/>
  <c r="N492" i="2"/>
  <c r="M492" i="2"/>
  <c r="N491" i="2"/>
  <c r="M491" i="2"/>
  <c r="N490" i="2"/>
  <c r="M490" i="2"/>
  <c r="N489" i="2"/>
  <c r="M489" i="2"/>
  <c r="N488" i="2"/>
  <c r="M488" i="2"/>
  <c r="N487" i="2"/>
  <c r="M487" i="2"/>
  <c r="N486" i="2"/>
  <c r="M486" i="2"/>
  <c r="N485" i="2"/>
  <c r="M485" i="2"/>
  <c r="N484" i="2"/>
  <c r="M484" i="2"/>
  <c r="N483" i="2"/>
  <c r="M483" i="2"/>
  <c r="N482" i="2"/>
  <c r="M482" i="2"/>
  <c r="N481" i="2"/>
  <c r="M481" i="2"/>
  <c r="N480" i="2"/>
  <c r="M480" i="2"/>
  <c r="N479" i="2"/>
  <c r="M479" i="2"/>
  <c r="N478" i="2"/>
  <c r="M478" i="2"/>
  <c r="N477" i="2"/>
  <c r="M477" i="2"/>
  <c r="N476" i="2"/>
  <c r="M476" i="2"/>
  <c r="N475" i="2"/>
  <c r="M475" i="2"/>
  <c r="N474" i="2"/>
  <c r="M474" i="2"/>
  <c r="N473" i="2"/>
  <c r="M473" i="2"/>
  <c r="N472" i="2"/>
  <c r="M472" i="2"/>
  <c r="N471" i="2"/>
  <c r="M471" i="2"/>
  <c r="N470" i="2"/>
  <c r="M470" i="2"/>
  <c r="N469" i="2"/>
  <c r="M469" i="2"/>
  <c r="N468" i="2"/>
  <c r="M468" i="2"/>
  <c r="N467" i="2"/>
  <c r="M467" i="2"/>
  <c r="N466" i="2"/>
  <c r="M466" i="2"/>
  <c r="N465" i="2"/>
  <c r="M465" i="2"/>
  <c r="N464" i="2"/>
  <c r="M464" i="2"/>
  <c r="N463" i="2"/>
  <c r="M463" i="2"/>
  <c r="N462" i="2"/>
  <c r="M462" i="2"/>
  <c r="N461" i="2"/>
  <c r="M461" i="2"/>
  <c r="N460" i="2"/>
  <c r="M460" i="2"/>
  <c r="N459" i="2"/>
  <c r="M459" i="2"/>
  <c r="N458" i="2"/>
  <c r="M458" i="2"/>
  <c r="N457" i="2"/>
  <c r="M457" i="2"/>
  <c r="N456" i="2"/>
  <c r="M456" i="2"/>
  <c r="N455" i="2"/>
  <c r="M455" i="2"/>
  <c r="N454" i="2"/>
  <c r="N453" i="2"/>
  <c r="M453" i="2"/>
  <c r="N452" i="2"/>
  <c r="M452" i="2"/>
  <c r="N451" i="2"/>
  <c r="M451" i="2"/>
  <c r="N450" i="2"/>
  <c r="M450" i="2"/>
  <c r="N449" i="2"/>
  <c r="M449" i="2"/>
  <c r="N448" i="2"/>
  <c r="M448" i="2"/>
  <c r="N447" i="2"/>
  <c r="M447" i="2"/>
  <c r="N446" i="2"/>
  <c r="M446" i="2"/>
  <c r="N445" i="2"/>
  <c r="M445" i="2"/>
  <c r="N444" i="2"/>
  <c r="M444" i="2"/>
  <c r="N443" i="2"/>
  <c r="M443" i="2"/>
  <c r="N442" i="2"/>
  <c r="M442" i="2"/>
  <c r="N441" i="2"/>
  <c r="M441" i="2"/>
  <c r="N440" i="2"/>
  <c r="M440" i="2"/>
  <c r="N439" i="2"/>
  <c r="M439" i="2"/>
  <c r="N438" i="2"/>
  <c r="M438" i="2"/>
  <c r="N437" i="2"/>
  <c r="M437" i="2"/>
  <c r="N436" i="2"/>
  <c r="M436" i="2"/>
  <c r="N435" i="2"/>
  <c r="M435" i="2"/>
  <c r="N434" i="2"/>
  <c r="M434" i="2"/>
  <c r="N433" i="2"/>
  <c r="M433" i="2"/>
  <c r="N432" i="2"/>
  <c r="M432" i="2"/>
  <c r="N431" i="2"/>
  <c r="M431" i="2"/>
  <c r="N430" i="2"/>
  <c r="M430" i="2"/>
  <c r="N429" i="2"/>
  <c r="M429" i="2"/>
  <c r="N428" i="2"/>
  <c r="M428" i="2"/>
  <c r="N427" i="2"/>
  <c r="M427" i="2"/>
  <c r="N426" i="2"/>
  <c r="M426" i="2"/>
  <c r="N425" i="2"/>
  <c r="M425" i="2"/>
  <c r="N424" i="2"/>
  <c r="M424" i="2"/>
  <c r="N423" i="2"/>
  <c r="M423" i="2"/>
  <c r="N422" i="2"/>
  <c r="M422" i="2"/>
  <c r="N421" i="2"/>
  <c r="M421" i="2"/>
  <c r="N420" i="2"/>
  <c r="M420" i="2"/>
  <c r="N419" i="2"/>
  <c r="M419" i="2"/>
  <c r="N418" i="2"/>
  <c r="M418" i="2"/>
  <c r="N417" i="2"/>
  <c r="M417" i="2"/>
  <c r="N416" i="2"/>
  <c r="M416" i="2"/>
  <c r="N415" i="2"/>
  <c r="M415" i="2"/>
  <c r="N414" i="2"/>
  <c r="M414" i="2"/>
  <c r="N413" i="2"/>
  <c r="M413" i="2"/>
  <c r="N412" i="2"/>
  <c r="M412" i="2"/>
  <c r="N411" i="2"/>
  <c r="M411" i="2"/>
  <c r="N410" i="2"/>
  <c r="M410" i="2"/>
  <c r="N409" i="2"/>
  <c r="M409" i="2"/>
  <c r="N408" i="2"/>
  <c r="M408" i="2"/>
  <c r="N407" i="2"/>
  <c r="M407" i="2"/>
  <c r="N406" i="2"/>
  <c r="M406" i="2"/>
  <c r="N405" i="2"/>
  <c r="M405" i="2"/>
  <c r="N404" i="2"/>
  <c r="M404" i="2"/>
  <c r="N403" i="2"/>
  <c r="M403" i="2"/>
  <c r="N402" i="2"/>
  <c r="M402" i="2"/>
  <c r="N401" i="2"/>
  <c r="M401" i="2"/>
  <c r="N400" i="2"/>
  <c r="M400" i="2"/>
  <c r="N399" i="2"/>
  <c r="M399" i="2"/>
  <c r="N398" i="2"/>
  <c r="M398" i="2"/>
  <c r="N397" i="2"/>
  <c r="M397" i="2"/>
  <c r="N396" i="2"/>
  <c r="M396" i="2"/>
  <c r="N395" i="2"/>
  <c r="M395" i="2"/>
  <c r="N394" i="2"/>
  <c r="M394" i="2"/>
  <c r="N393" i="2"/>
  <c r="M393" i="2"/>
  <c r="N392" i="2"/>
  <c r="M392" i="2"/>
  <c r="N391" i="2"/>
  <c r="M391" i="2"/>
  <c r="N390" i="2"/>
  <c r="M390" i="2"/>
  <c r="N389" i="2"/>
  <c r="M389" i="2"/>
  <c r="N388" i="2"/>
  <c r="M388" i="2"/>
  <c r="N387" i="2"/>
  <c r="M387" i="2"/>
  <c r="N386" i="2"/>
  <c r="M386" i="2"/>
  <c r="N385" i="2"/>
  <c r="M385" i="2"/>
  <c r="N384" i="2"/>
  <c r="M384" i="2"/>
  <c r="N383" i="2"/>
  <c r="M383" i="2"/>
  <c r="N382" i="2"/>
  <c r="M382" i="2"/>
  <c r="N381" i="2"/>
  <c r="M381" i="2"/>
  <c r="N380" i="2"/>
  <c r="M380" i="2"/>
  <c r="N379" i="2"/>
  <c r="M379" i="2"/>
  <c r="N378" i="2"/>
  <c r="M378" i="2"/>
  <c r="N377" i="2"/>
  <c r="M377" i="2"/>
  <c r="N376" i="2"/>
  <c r="M376" i="2"/>
  <c r="N375" i="2"/>
  <c r="M375" i="2"/>
  <c r="N374" i="2"/>
  <c r="M374" i="2"/>
  <c r="N373" i="2"/>
  <c r="M373" i="2"/>
  <c r="N372" i="2"/>
  <c r="M372" i="2"/>
  <c r="N371" i="2"/>
  <c r="M371" i="2"/>
  <c r="N370" i="2"/>
  <c r="M370" i="2"/>
  <c r="N369" i="2"/>
  <c r="M369" i="2"/>
  <c r="N368" i="2"/>
  <c r="M368" i="2"/>
  <c r="N367" i="2"/>
  <c r="M367" i="2"/>
  <c r="N366" i="2"/>
  <c r="M366" i="2"/>
  <c r="N365" i="2"/>
  <c r="M365" i="2"/>
  <c r="N364" i="2"/>
  <c r="M364" i="2"/>
  <c r="N363" i="2"/>
  <c r="M363" i="2"/>
  <c r="N362" i="2"/>
  <c r="M362" i="2"/>
  <c r="N361" i="2"/>
  <c r="M361" i="2"/>
  <c r="N360" i="2"/>
  <c r="M360" i="2"/>
  <c r="N359" i="2"/>
  <c r="M359" i="2"/>
  <c r="N358" i="2"/>
  <c r="M358" i="2"/>
  <c r="N357" i="2"/>
  <c r="M357" i="2"/>
  <c r="N356" i="2"/>
  <c r="M356" i="2"/>
  <c r="N355" i="2"/>
  <c r="M355" i="2"/>
  <c r="N354" i="2"/>
  <c r="M354" i="2"/>
  <c r="N353" i="2"/>
  <c r="M353" i="2"/>
  <c r="N352" i="2"/>
  <c r="M352" i="2"/>
  <c r="N351" i="2"/>
  <c r="M351" i="2"/>
  <c r="N350" i="2"/>
  <c r="M350" i="2"/>
  <c r="N349" i="2"/>
  <c r="M349" i="2"/>
  <c r="N348" i="2"/>
  <c r="M348" i="2"/>
  <c r="N347" i="2"/>
  <c r="M347" i="2"/>
  <c r="N346" i="2"/>
  <c r="M346" i="2"/>
  <c r="N345" i="2"/>
  <c r="M345" i="2"/>
  <c r="N344" i="2"/>
  <c r="M344" i="2"/>
  <c r="N343" i="2"/>
  <c r="M343" i="2"/>
  <c r="N342" i="2"/>
  <c r="M342" i="2"/>
  <c r="N341" i="2"/>
  <c r="M341" i="2"/>
  <c r="N340" i="2"/>
  <c r="M340" i="2"/>
  <c r="N339" i="2"/>
  <c r="M339" i="2"/>
  <c r="N338" i="2"/>
  <c r="M338" i="2"/>
  <c r="N337" i="2"/>
  <c r="M337" i="2"/>
  <c r="N336" i="2"/>
  <c r="M336" i="2"/>
  <c r="N335" i="2"/>
  <c r="M335" i="2"/>
  <c r="N334" i="2"/>
  <c r="M334" i="2"/>
  <c r="N333" i="2"/>
  <c r="M333" i="2"/>
  <c r="N332" i="2"/>
  <c r="M332" i="2"/>
  <c r="N331" i="2"/>
  <c r="M331" i="2"/>
  <c r="N330" i="2"/>
  <c r="M330" i="2"/>
  <c r="N329" i="2"/>
  <c r="M329" i="2"/>
  <c r="N328" i="2"/>
  <c r="M328" i="2"/>
  <c r="N327" i="2"/>
  <c r="M327" i="2"/>
  <c r="N326" i="2"/>
  <c r="M326" i="2"/>
  <c r="N325" i="2"/>
  <c r="M325" i="2"/>
  <c r="N324" i="2"/>
  <c r="M324" i="2"/>
  <c r="N323" i="2"/>
  <c r="M323" i="2"/>
  <c r="N322" i="2"/>
  <c r="M322" i="2"/>
  <c r="N321" i="2"/>
  <c r="M321" i="2"/>
  <c r="N320" i="2"/>
  <c r="M320" i="2"/>
  <c r="N319" i="2"/>
  <c r="M319" i="2"/>
  <c r="N318" i="2"/>
  <c r="M318" i="2"/>
  <c r="N317" i="2"/>
  <c r="M317" i="2"/>
  <c r="N316" i="2"/>
  <c r="M316" i="2"/>
  <c r="N315" i="2"/>
  <c r="M315" i="2"/>
  <c r="N314" i="2"/>
  <c r="M314" i="2"/>
  <c r="N313" i="2"/>
  <c r="M313" i="2"/>
  <c r="N312" i="2"/>
  <c r="M312" i="2"/>
  <c r="N311" i="2"/>
  <c r="M311" i="2"/>
  <c r="N310" i="2"/>
  <c r="M310" i="2"/>
  <c r="N309" i="2"/>
  <c r="M309" i="2"/>
  <c r="N308" i="2"/>
  <c r="M308" i="2"/>
  <c r="N307" i="2"/>
  <c r="M307" i="2"/>
  <c r="N306" i="2"/>
  <c r="M306" i="2"/>
  <c r="N305" i="2"/>
  <c r="M305" i="2"/>
  <c r="N304" i="2"/>
  <c r="M304" i="2"/>
  <c r="N303" i="2"/>
  <c r="M303" i="2"/>
  <c r="N302" i="2"/>
  <c r="M302" i="2"/>
  <c r="N301" i="2"/>
  <c r="M301" i="2"/>
  <c r="N300" i="2"/>
  <c r="M300" i="2"/>
  <c r="N299" i="2"/>
  <c r="M299" i="2"/>
  <c r="N298" i="2"/>
  <c r="M298" i="2"/>
  <c r="N297" i="2"/>
  <c r="M297" i="2"/>
  <c r="N296" i="2"/>
  <c r="M296" i="2"/>
  <c r="N295" i="2"/>
  <c r="M295" i="2"/>
  <c r="N294" i="2"/>
  <c r="M294" i="2"/>
  <c r="N293" i="2"/>
  <c r="M293" i="2"/>
  <c r="N292" i="2"/>
  <c r="M292" i="2"/>
  <c r="N291" i="2"/>
  <c r="M291" i="2"/>
  <c r="N290" i="2"/>
  <c r="M290" i="2"/>
  <c r="N289" i="2"/>
  <c r="M289" i="2"/>
  <c r="N288" i="2"/>
  <c r="M288" i="2"/>
  <c r="N287" i="2"/>
  <c r="M287" i="2"/>
  <c r="N286" i="2"/>
  <c r="M286" i="2"/>
  <c r="N285" i="2"/>
  <c r="M285" i="2"/>
  <c r="N284" i="2"/>
  <c r="M284" i="2"/>
  <c r="N283" i="2"/>
  <c r="M283" i="2"/>
  <c r="N282" i="2"/>
  <c r="M282" i="2"/>
  <c r="N281" i="2"/>
  <c r="M281" i="2"/>
  <c r="N280" i="2"/>
  <c r="M280" i="2"/>
  <c r="N279" i="2"/>
  <c r="M279" i="2"/>
  <c r="N278" i="2"/>
  <c r="M278" i="2"/>
  <c r="N277" i="2"/>
  <c r="M277" i="2"/>
  <c r="N276" i="2"/>
  <c r="M276" i="2"/>
  <c r="N275" i="2"/>
  <c r="M275" i="2"/>
  <c r="N274" i="2"/>
  <c r="M274" i="2"/>
  <c r="N273" i="2"/>
  <c r="M273" i="2"/>
  <c r="N272" i="2"/>
  <c r="M272" i="2"/>
  <c r="N271" i="2"/>
  <c r="M271" i="2"/>
  <c r="N270" i="2"/>
  <c r="M270" i="2"/>
  <c r="N269" i="2"/>
  <c r="M269" i="2"/>
  <c r="N268" i="2"/>
  <c r="M268" i="2"/>
  <c r="N267" i="2"/>
  <c r="M267" i="2"/>
  <c r="N266" i="2"/>
  <c r="M266" i="2"/>
  <c r="N265" i="2"/>
  <c r="M265" i="2"/>
  <c r="N264" i="2"/>
  <c r="M264" i="2"/>
  <c r="N263" i="2"/>
  <c r="M263" i="2"/>
  <c r="N262" i="2"/>
  <c r="M262" i="2"/>
  <c r="N261" i="2"/>
  <c r="M261" i="2"/>
  <c r="N260" i="2"/>
  <c r="M260" i="2"/>
  <c r="N259" i="2"/>
  <c r="M259" i="2"/>
  <c r="N258" i="2"/>
  <c r="M258" i="2"/>
  <c r="N257" i="2"/>
  <c r="M257" i="2"/>
  <c r="N256" i="2"/>
  <c r="M256" i="2"/>
  <c r="N255" i="2"/>
  <c r="M255" i="2"/>
  <c r="N254" i="2"/>
  <c r="M254" i="2"/>
  <c r="N253" i="2"/>
  <c r="M253" i="2"/>
  <c r="N252" i="2"/>
  <c r="M252" i="2"/>
  <c r="N251" i="2"/>
  <c r="M251" i="2"/>
  <c r="N250" i="2"/>
  <c r="M250" i="2"/>
  <c r="N249" i="2"/>
  <c r="M249" i="2"/>
  <c r="N248" i="2"/>
  <c r="M248" i="2"/>
  <c r="N247" i="2"/>
  <c r="M247" i="2"/>
  <c r="N246" i="2"/>
  <c r="M246" i="2"/>
  <c r="N245" i="2"/>
  <c r="M245" i="2"/>
  <c r="N244" i="2"/>
  <c r="M244" i="2"/>
  <c r="N243" i="2"/>
  <c r="M243" i="2"/>
  <c r="N242" i="2"/>
  <c r="M242" i="2"/>
  <c r="N241" i="2"/>
  <c r="M241" i="2"/>
  <c r="N240" i="2"/>
  <c r="M240" i="2"/>
  <c r="N239" i="2"/>
  <c r="M239" i="2"/>
  <c r="N238" i="2"/>
  <c r="M238" i="2"/>
  <c r="N237" i="2"/>
  <c r="M237" i="2"/>
  <c r="N236" i="2"/>
  <c r="M236" i="2"/>
  <c r="N235" i="2"/>
  <c r="M235" i="2"/>
  <c r="N234" i="2"/>
  <c r="M234" i="2"/>
  <c r="N233" i="2"/>
  <c r="M233" i="2"/>
  <c r="N232" i="2"/>
  <c r="M232" i="2"/>
  <c r="N231" i="2"/>
  <c r="M231" i="2"/>
  <c r="N230" i="2"/>
  <c r="M230" i="2"/>
  <c r="N229" i="2"/>
  <c r="M229" i="2"/>
  <c r="N228" i="2"/>
  <c r="M228" i="2"/>
  <c r="N227" i="2"/>
  <c r="M227" i="2"/>
  <c r="N226" i="2"/>
  <c r="M226" i="2"/>
  <c r="N225" i="2"/>
  <c r="M225" i="2"/>
  <c r="N224" i="2"/>
  <c r="M224" i="2"/>
  <c r="N223" i="2"/>
  <c r="M223" i="2"/>
  <c r="N222" i="2"/>
  <c r="M222" i="2"/>
  <c r="N221" i="2"/>
  <c r="M221" i="2"/>
  <c r="N220" i="2"/>
  <c r="M220" i="2"/>
  <c r="N219" i="2"/>
  <c r="M219" i="2"/>
  <c r="N218" i="2"/>
  <c r="M218" i="2"/>
  <c r="N217" i="2"/>
  <c r="M217" i="2"/>
  <c r="N216" i="2"/>
  <c r="M216" i="2"/>
  <c r="N215" i="2"/>
  <c r="M215" i="2"/>
  <c r="N214" i="2"/>
  <c r="N213" i="2"/>
  <c r="M213" i="2"/>
  <c r="N212" i="2"/>
  <c r="M212" i="2"/>
  <c r="N211" i="2"/>
  <c r="M211" i="2"/>
  <c r="N210" i="2"/>
  <c r="M210" i="2"/>
  <c r="N209" i="2"/>
  <c r="M209" i="2"/>
  <c r="N208" i="2"/>
  <c r="M208" i="2"/>
  <c r="N207" i="2"/>
  <c r="M207" i="2"/>
  <c r="N206" i="2"/>
  <c r="M206" i="2"/>
  <c r="N205" i="2"/>
  <c r="M205" i="2"/>
  <c r="N204" i="2"/>
  <c r="M204" i="2"/>
  <c r="N203" i="2"/>
  <c r="M203" i="2"/>
  <c r="N202" i="2"/>
  <c r="M202" i="2"/>
  <c r="N201" i="2"/>
  <c r="M201" i="2"/>
  <c r="N200" i="2"/>
  <c r="M200" i="2"/>
  <c r="N199" i="2"/>
  <c r="M199" i="2"/>
  <c r="N198" i="2"/>
  <c r="M198" i="2"/>
  <c r="N197" i="2"/>
  <c r="N196" i="2"/>
  <c r="M196" i="2"/>
  <c r="N195" i="2"/>
  <c r="M195" i="2"/>
  <c r="N194" i="2"/>
  <c r="M194" i="2"/>
  <c r="N193" i="2"/>
  <c r="M193" i="2"/>
  <c r="N192" i="2"/>
  <c r="M192" i="2"/>
  <c r="N191" i="2"/>
  <c r="M191" i="2"/>
  <c r="N190" i="2"/>
  <c r="M190" i="2"/>
  <c r="N189" i="2"/>
  <c r="M189" i="2"/>
  <c r="N188" i="2"/>
  <c r="M188" i="2"/>
  <c r="N187" i="2"/>
  <c r="M187" i="2"/>
  <c r="N186" i="2"/>
  <c r="M186" i="2"/>
  <c r="N185" i="2"/>
  <c r="M185" i="2"/>
  <c r="N184" i="2"/>
  <c r="M184" i="2"/>
  <c r="N183" i="2"/>
  <c r="M183" i="2"/>
  <c r="N182" i="2"/>
  <c r="M182" i="2"/>
  <c r="N181" i="2"/>
  <c r="M181" i="2"/>
  <c r="N180" i="2"/>
  <c r="M180" i="2"/>
  <c r="N179" i="2"/>
  <c r="M179" i="2"/>
  <c r="N178" i="2"/>
  <c r="M178" i="2"/>
  <c r="N177" i="2"/>
  <c r="M177" i="2"/>
  <c r="N176" i="2"/>
  <c r="M176" i="2"/>
  <c r="N175" i="2"/>
  <c r="M175" i="2"/>
  <c r="N174" i="2"/>
  <c r="M174" i="2"/>
  <c r="N173" i="2"/>
  <c r="M173" i="2"/>
  <c r="N172" i="2"/>
  <c r="M172" i="2"/>
  <c r="N171" i="2"/>
  <c r="M171" i="2"/>
  <c r="N170" i="2"/>
  <c r="M170" i="2"/>
  <c r="N169" i="2"/>
  <c r="M169" i="2"/>
  <c r="N168" i="2"/>
  <c r="M168" i="2"/>
  <c r="N167" i="2"/>
  <c r="M167" i="2"/>
  <c r="N166" i="2"/>
  <c r="M166" i="2"/>
  <c r="N165" i="2"/>
  <c r="M165" i="2"/>
  <c r="N164" i="2"/>
  <c r="M164" i="2"/>
  <c r="N163" i="2"/>
  <c r="M163" i="2"/>
  <c r="N162" i="2"/>
  <c r="M162" i="2"/>
  <c r="N161" i="2"/>
  <c r="M161" i="2"/>
  <c r="N160" i="2"/>
  <c r="M160" i="2"/>
  <c r="N159" i="2"/>
  <c r="M159" i="2"/>
  <c r="N158" i="2"/>
  <c r="M158" i="2"/>
  <c r="N157" i="2"/>
  <c r="M157" i="2"/>
  <c r="N156" i="2"/>
  <c r="M156" i="2"/>
  <c r="N155" i="2"/>
  <c r="M155" i="2"/>
  <c r="N154" i="2"/>
  <c r="M154" i="2"/>
  <c r="N153" i="2"/>
  <c r="M153" i="2"/>
  <c r="N152" i="2"/>
  <c r="M152" i="2"/>
  <c r="N151" i="2"/>
  <c r="M151" i="2"/>
  <c r="N150" i="2"/>
  <c r="M150" i="2"/>
  <c r="N149" i="2"/>
  <c r="M149" i="2"/>
  <c r="N148" i="2"/>
  <c r="M148" i="2"/>
  <c r="N147" i="2"/>
  <c r="M147" i="2"/>
  <c r="N146" i="2"/>
  <c r="M146" i="2"/>
  <c r="N145" i="2"/>
  <c r="M145" i="2"/>
  <c r="N144" i="2"/>
  <c r="M144" i="2"/>
  <c r="N143" i="2"/>
  <c r="M143" i="2"/>
  <c r="N142" i="2"/>
  <c r="M142" i="2"/>
  <c r="N141" i="2"/>
  <c r="M141" i="2"/>
  <c r="N140" i="2"/>
  <c r="M140" i="2"/>
  <c r="N139" i="2"/>
  <c r="M139" i="2"/>
  <c r="N138" i="2"/>
  <c r="M138" i="2"/>
  <c r="N137" i="2"/>
  <c r="M137" i="2"/>
  <c r="N136" i="2"/>
  <c r="M136" i="2"/>
  <c r="N135" i="2"/>
  <c r="M135" i="2"/>
  <c r="N134" i="2"/>
  <c r="M134" i="2"/>
  <c r="N133" i="2"/>
  <c r="M133" i="2"/>
  <c r="N132" i="2"/>
  <c r="M132" i="2"/>
  <c r="N131" i="2"/>
  <c r="M131" i="2"/>
  <c r="N130" i="2"/>
  <c r="M130" i="2"/>
  <c r="N129" i="2"/>
  <c r="M129" i="2"/>
  <c r="N128" i="2"/>
  <c r="M128" i="2"/>
  <c r="N127" i="2"/>
  <c r="M127" i="2"/>
  <c r="N126" i="2"/>
  <c r="M126" i="2"/>
  <c r="N125" i="2"/>
  <c r="M125" i="2"/>
  <c r="N124" i="2"/>
  <c r="M124" i="2"/>
  <c r="N123" i="2"/>
  <c r="M123" i="2"/>
  <c r="N122" i="2"/>
  <c r="M122" i="2"/>
  <c r="N121" i="2"/>
  <c r="M121" i="2"/>
  <c r="N120" i="2"/>
  <c r="M120" i="2"/>
  <c r="N119" i="2"/>
  <c r="M119" i="2"/>
  <c r="N118" i="2"/>
  <c r="M118" i="2"/>
  <c r="N117" i="2"/>
  <c r="M117" i="2"/>
  <c r="N116" i="2"/>
  <c r="M116" i="2"/>
  <c r="N115" i="2"/>
  <c r="M115" i="2"/>
  <c r="N114" i="2"/>
  <c r="M114" i="2"/>
  <c r="N113" i="2"/>
  <c r="M113" i="2"/>
  <c r="N112" i="2"/>
  <c r="M112" i="2"/>
  <c r="N111" i="2"/>
  <c r="M111" i="2"/>
  <c r="N110" i="2"/>
  <c r="M110" i="2"/>
  <c r="N109" i="2"/>
  <c r="M109" i="2"/>
  <c r="N108" i="2"/>
  <c r="M108" i="2"/>
  <c r="N107" i="2"/>
  <c r="M107" i="2"/>
  <c r="N106" i="2"/>
  <c r="M106" i="2"/>
  <c r="N105" i="2"/>
  <c r="M105" i="2"/>
  <c r="N104" i="2"/>
  <c r="M104" i="2"/>
  <c r="N103" i="2"/>
  <c r="M103" i="2"/>
  <c r="N102" i="2"/>
  <c r="M102" i="2"/>
  <c r="N101" i="2"/>
  <c r="M101" i="2"/>
  <c r="N100" i="2"/>
  <c r="M100" i="2"/>
  <c r="N99" i="2"/>
  <c r="M99" i="2"/>
  <c r="N98" i="2"/>
  <c r="M98" i="2"/>
  <c r="N97" i="2"/>
  <c r="M97" i="2"/>
  <c r="N96" i="2"/>
  <c r="M96" i="2"/>
  <c r="N95" i="2"/>
  <c r="M95" i="2"/>
  <c r="N94" i="2"/>
  <c r="M94" i="2"/>
  <c r="N93" i="2"/>
  <c r="M93" i="2"/>
  <c r="N92" i="2"/>
  <c r="M92" i="2"/>
  <c r="N91" i="2"/>
  <c r="M91" i="2"/>
  <c r="N90" i="2"/>
  <c r="M90" i="2"/>
  <c r="N89" i="2"/>
  <c r="M89" i="2"/>
  <c r="N88" i="2"/>
  <c r="M88" i="2"/>
  <c r="N87" i="2"/>
  <c r="M87" i="2"/>
  <c r="N86" i="2"/>
  <c r="M86" i="2"/>
  <c r="N85" i="2"/>
  <c r="M85" i="2"/>
  <c r="N84" i="2"/>
  <c r="M84" i="2"/>
  <c r="N83" i="2"/>
  <c r="M83" i="2"/>
  <c r="N82" i="2"/>
  <c r="M82" i="2"/>
  <c r="N81" i="2"/>
  <c r="M81" i="2"/>
  <c r="N80" i="2"/>
  <c r="M80" i="2"/>
  <c r="N79" i="2"/>
  <c r="M79" i="2"/>
  <c r="N78" i="2"/>
  <c r="M78" i="2"/>
  <c r="N77" i="2"/>
  <c r="M77" i="2"/>
  <c r="N76" i="2"/>
  <c r="M76" i="2"/>
  <c r="N75" i="2"/>
  <c r="M75" i="2"/>
  <c r="N74" i="2"/>
  <c r="M74" i="2"/>
  <c r="N73" i="2"/>
  <c r="M73" i="2"/>
  <c r="N72" i="2"/>
  <c r="M72" i="2"/>
  <c r="N71" i="2"/>
  <c r="M71" i="2"/>
  <c r="N70" i="2"/>
  <c r="M70" i="2"/>
  <c r="N69" i="2"/>
  <c r="M69" i="2"/>
  <c r="N68" i="2"/>
  <c r="M68" i="2"/>
  <c r="N67" i="2"/>
  <c r="M67" i="2"/>
  <c r="N66" i="2"/>
  <c r="M66" i="2"/>
  <c r="N65" i="2"/>
  <c r="M65" i="2"/>
  <c r="N64" i="2"/>
  <c r="M64" i="2"/>
  <c r="N63" i="2"/>
  <c r="M63" i="2"/>
  <c r="N62" i="2"/>
  <c r="M62" i="2"/>
  <c r="N61" i="2"/>
  <c r="M61" i="2"/>
  <c r="N60" i="2"/>
  <c r="M60" i="2"/>
  <c r="N59" i="2"/>
  <c r="M59" i="2"/>
  <c r="N58" i="2"/>
  <c r="M58" i="2"/>
  <c r="N57" i="2"/>
  <c r="M57" i="2"/>
  <c r="N56" i="2"/>
  <c r="M56" i="2"/>
  <c r="N55" i="2"/>
  <c r="M55" i="2"/>
  <c r="N54" i="2"/>
  <c r="N53" i="2"/>
  <c r="M53" i="2"/>
  <c r="N52" i="2"/>
  <c r="M52" i="2"/>
  <c r="N51" i="2"/>
  <c r="M51" i="2"/>
  <c r="N50" i="2"/>
  <c r="N49" i="2"/>
  <c r="M49" i="2"/>
  <c r="N48" i="2"/>
  <c r="M48" i="2"/>
  <c r="N47" i="2"/>
  <c r="M47" i="2"/>
  <c r="N46" i="2"/>
  <c r="M46" i="2"/>
  <c r="N45" i="2"/>
  <c r="M45" i="2"/>
  <c r="N44" i="2"/>
  <c r="M44" i="2"/>
  <c r="N43" i="2"/>
  <c r="M43" i="2"/>
  <c r="N42" i="2"/>
  <c r="M42" i="2"/>
  <c r="N41" i="2"/>
  <c r="M41" i="2"/>
  <c r="N40" i="2"/>
  <c r="M40" i="2"/>
  <c r="N39" i="2"/>
  <c r="M39" i="2"/>
  <c r="N38" i="2"/>
  <c r="M38" i="2"/>
  <c r="N37" i="2"/>
  <c r="M37" i="2"/>
  <c r="N36" i="2"/>
  <c r="M36" i="2"/>
  <c r="N35" i="2"/>
  <c r="M35" i="2"/>
  <c r="N34" i="2"/>
  <c r="M34" i="2"/>
  <c r="N33" i="2"/>
  <c r="M33" i="2"/>
  <c r="N32" i="2"/>
  <c r="M32" i="2"/>
  <c r="N31" i="2"/>
  <c r="M31" i="2"/>
  <c r="N30" i="2"/>
  <c r="M30" i="2"/>
  <c r="N29" i="2"/>
  <c r="M29"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alcChain>
</file>

<file path=xl/sharedStrings.xml><?xml version="1.0" encoding="utf-8"?>
<sst xmlns="http://schemas.openxmlformats.org/spreadsheetml/2006/main" count="2791" uniqueCount="1194">
  <si>
    <t>Q4 2025 AI VC Ecosystem</t>
  </si>
  <si>
    <t>Segment</t>
  </si>
  <si>
    <t>Subsegment</t>
  </si>
  <si>
    <t>Last Known Valuation Date</t>
  </si>
  <si>
    <t>Last Known Valuation</t>
  </si>
  <si>
    <t>M&amp;A Probability</t>
  </si>
  <si>
    <t>IPO Probability</t>
  </si>
  <si>
    <t>Description</t>
  </si>
  <si>
    <t>HQ Location</t>
  </si>
  <si>
    <t>Year Founded</t>
  </si>
  <si>
    <t>Total Raised</t>
  </si>
  <si>
    <t>Last Financing Date</t>
  </si>
  <si>
    <t>Website</t>
  </si>
  <si>
    <t>View Company Online</t>
  </si>
  <si>
    <t>OpenAI</t>
  </si>
  <si>
    <t>Horizontal Platforms</t>
  </si>
  <si>
    <t>AI Core</t>
  </si>
  <si>
    <t>Developer of machine learning systems designed for general-purpose artificial intelligence applications. The company's systems provide large-scale language models, multimodal input handling, code generation, natural language understanding, API integration, plugin extensibility, and continuous model updates, enabling enterprises, developers, and researchers to build, test, and deploy intelligent systems that support automation, content generation, data analysis, and interactive problem-solving across various domains.</t>
  </si>
  <si>
    <t>San Francisco, CA</t>
  </si>
  <si>
    <t>Anthropic</t>
  </si>
  <si>
    <t>Developer of a large language model platform designed for business-critical use cases. The company's platform understands and generates human-like text, maintains context across multiple turns in a conversation, and adapts to specific use cases and requirements, enabling organizations to improve efficiency, creativity, and decision-making.</t>
  </si>
  <si>
    <t>Databricks</t>
  </si>
  <si>
    <t>AI Automation Platforms</t>
  </si>
  <si>
    <t>Developer of a data analytics platform designed to offer an open and unified environment for the data and artificial intelligence sectors. The company's platform uses artificial intelligence to provide data integration simplification, real-time exploration, interactive notebooks, integrated workflows, full enterprise security, and deployment of production applications, enabling organizations to work with improved usability, performance, and security in an optimized runtime.</t>
  </si>
  <si>
    <t/>
  </si>
  <si>
    <t>Waymo</t>
  </si>
  <si>
    <t>Autonomous Machines</t>
  </si>
  <si>
    <t>Autonomous Vehicles</t>
  </si>
  <si>
    <t>Developer of a self-driving technology designed to offer on-demand riding services that make it convenient for people and things to move around. The company's technology employs integrated sensors and artificial intelligence to detect pedestrians, cyclists, vehicles, and road works, enabling users to have a safe and enjoyable on-demand traveling experience in autonomous vehicles.</t>
  </si>
  <si>
    <t>Mountain View, CA</t>
  </si>
  <si>
    <t>ByteDance</t>
  </si>
  <si>
    <t>Consumer AI</t>
  </si>
  <si>
    <t>Expected 31-Mar-2026</t>
  </si>
  <si>
    <t>Developer of global digital content and AI-powered platform ecosystems intends to inspire creativity and enrich life. The company offers short video platforms, enterprise collaboration tools, and AI services underpinned by deep learning based recommendation engines and advanced content generation technologies, enabling global users and organizations to access tailored information streams, create and share diverse media, collaborate effectively, and engage with digital content in a structured environment.</t>
  </si>
  <si>
    <t>Beijing, China</t>
  </si>
  <si>
    <t>Scale AI</t>
  </si>
  <si>
    <t>Industrial AI</t>
  </si>
  <si>
    <t>Developer of a data-oriented platform intended to provide training and validation data for artificial intelligence applications. The company's platform offers a data-centric, end-to-end service to manage the entire machine learning lifecycle by combining technology to develop complex datasets, helping companies to achieve their breakthroughs and empowering any organization to apply and evaluate artificial intelligence, enabling clients to accelerate the development of artificial intelligence applications through ground data.</t>
  </si>
  <si>
    <t>Cerebras Systems</t>
  </si>
  <si>
    <t>Semiconductors</t>
  </si>
  <si>
    <t>Processor Design</t>
  </si>
  <si>
    <t>Cerebras Systems Inc is an AI company. It designs the world's fastest AI infrastructure for training and inference. The company builds the world's largest semiconductor as well as the AI systems to power, cool, and feed the processors data. It develops software to link these systems together into industry-leading supercomputers that are simple to use even for the most complicated AI work, using familiar ML frameworks like PyTorch. Customers use its supercomputers to train industry-leading models. The company uses these supercomputers to run inference at speeds unobtainable from alternative commercial technologies. It delivers these AI capabilities to its customers on-premise and via the cloud. The company generates the majority of its revenue from the USA.</t>
  </si>
  <si>
    <t>Sunnyvale, CA</t>
  </si>
  <si>
    <t>Firmus Technologies</t>
  </si>
  <si>
    <t>AI in IT</t>
  </si>
  <si>
    <t>Provider of advanced AI-infrastructure systems intended for high-density computing environments. The company's platform integrates immersion-cooling, power-grid orchestration, modular compute blocks, and proprietary operating software, enabling enterprise and sovereign users to deploy large-scale AI workloads with higher energy efficiency and lower total cost of ownership.</t>
  </si>
  <si>
    <t>Launceston, Australia</t>
  </si>
  <si>
    <t>Stripe</t>
  </si>
  <si>
    <t>AI in Financial Services</t>
  </si>
  <si>
    <t>Operator of an online financial infrastructure platform designed to accept payments, grow revenue, and accelerate new business opportunities. The company offers a developer-centric, API-driven payments platform that simplifies payment infrastructure complexity and provides a suite of ancillary commerce enablement and financial services products, enabling companies to accept payments, send payouts, and manage their businesses online.</t>
  </si>
  <si>
    <t>South San Francisco, CA</t>
  </si>
  <si>
    <t>Epic Games</t>
  </si>
  <si>
    <t>Developer of an interactive entertainment software designed for immersive game creation. The company's software specializes in developing various multiplayer games and operates a game store that empowers others to choose and create three-dimensional content, enabling game developers and creators to build, distribute, and manage environments, realistic visualizations, and interactive experiences with scalable performance and cross-platform compatibility.</t>
  </si>
  <si>
    <t>Cary, NC</t>
  </si>
  <si>
    <t>Anduril Industries</t>
  </si>
  <si>
    <t>Intelligent Robotics</t>
  </si>
  <si>
    <t>Developer of autonomous defense technology designed to automate surveillance and threat detection for national security purposes. The company's platform features unmanned aerial vehicles, surveillance towers, sensor networks, and command software with real-time data integration and automated mission execution, providing military and government agencies with scalable technology that improves situational awareness, operational efficiency, and border security.</t>
  </si>
  <si>
    <t>Costa Mesa, CA</t>
  </si>
  <si>
    <t>Project Prometheus</t>
  </si>
  <si>
    <t>Developer of artificial intelligence tools designed to support real-world, hands-on tasks rather than just software. The company uses AI that learns from real-world experiments, data, and machinery, enabling engineers and manufacturers to accelerate product design, testing, and manufacturing through advanced, hands-on machine learning, agent-based, and generative AI capabilities.</t>
  </si>
  <si>
    <t>Cohesity</t>
  </si>
  <si>
    <t>Developer of a web-scale platform designed to simplify how companies protect, manage, and extract value from their data. The company's platform provides distributed storage and consolidates all secondary data and associated management functions on one unified system, enabling businesses to eliminate mass data fragmentation with ease.</t>
  </si>
  <si>
    <t>Santa Clara, CA</t>
  </si>
  <si>
    <t>Napster</t>
  </si>
  <si>
    <t>Operator of a media technology company intended to develop digital media and e-commerce through artificial intelligence, spatial computing, and other immersive technologies. The company's platform provides virtual worlds for businesses to build networks within ecosystems and grow their brand, enabling brands and creators to fully control how they distribute content, engage audiences, and monetize their creations while maintaining ownership of their data.</t>
  </si>
  <si>
    <t>Boca Raton, FL</t>
  </si>
  <si>
    <t>Nscale</t>
  </si>
  <si>
    <t>Developer of artificial-intelligence infrastructure intended to support organizations running large computing workloads. The company offers cloud computing, private artificial intelligence (AI) clusters, training platforms, inference services, and data-centre infrastructure, thereby helping organizations access the computing capacity required for artificial intelligence and high-performance workloads.</t>
  </si>
  <si>
    <t>London, United Kingdom</t>
  </si>
  <si>
    <t>Crusoe</t>
  </si>
  <si>
    <t>Chips</t>
  </si>
  <si>
    <t>Operator of artificial intelligence optimized cloud infrastructure intended to deliver computing for next-generation artificial intelligence workloads. The company offers state-of-the-art GPU infrastructure, intelligent orchestration, and clean energy-powered data centers, enabling enterprises and AI developers to scale efficiently, reduce operational complexity, and lower the environmental impact of their computational activities.</t>
  </si>
  <si>
    <t>Denver, CO</t>
  </si>
  <si>
    <t>Metropolis Technologies</t>
  </si>
  <si>
    <t>Transportation</t>
  </si>
  <si>
    <t>Developer of a computer vision-based operating platform intended to modernize parking and facilitate the future of mobility. The company's system builds a modern mobility commerce infrastructure that improves revenue generation and reduces operating expenses, enabling real estate partners to optimize net operating income and asset owners to access modern parking amenities and multi-modal mobility options.</t>
  </si>
  <si>
    <t>Chicago, IL</t>
  </si>
  <si>
    <t>Lambda</t>
  </si>
  <si>
    <t>Developer of a cloud computing platform designed for large-scale artificial intelligence training and inference. The company's platform provides scalable GPU cloud services, optimized hardware configurations, and integrated tools for training and deploying large-scale AI models, enabling enterprises and research organizations to accelerate development cycles, reduce operational complexity, and achieve cost-efficient performance at scale.</t>
  </si>
  <si>
    <t>San Jose, CA</t>
  </si>
  <si>
    <t>Expected 01-Jul-2026</t>
  </si>
  <si>
    <t>Safe Superintelligence</t>
  </si>
  <si>
    <t>Developer of an artificial intelligence research laboratory and foundational model architecture designed for the secure development of superhuman intelligence. The company's architecture integrates safety and capability development as a singular technical challenge without the distraction of interim product cycles or commercial management overhead, enabling researchers and engineers to support long-term, impactful technological advancements.</t>
  </si>
  <si>
    <t>Palo Alto, CA</t>
  </si>
  <si>
    <t>Navan (NAS: NAVN)</t>
  </si>
  <si>
    <t>Navan Inc is an end-to-end, AI-powered software platform built to simplify the world-wide business T&amp;E experience, benefiting users, customers, and suppliers. Its leveraged technology to reimagine business travel. The company deliver delightful, personalized experiences for users, efficiency and control for customers, and direct market access for suppliers-all powered by its proprietary AI framework, Navan Cognition. Geographically, the company operates in United States, United Kingdom and Other countries, of which United States derives maximum revenue.</t>
  </si>
  <si>
    <t>Moonshot AI (Business/Productivity Software)</t>
  </si>
  <si>
    <t>Developer of an artificial intelligence model designed to serve the AGI industry. The company offers research and development of a generative artificial intelligence model that can process longer and more complex domestic texts in various contexts, thereby providing an AI application that can be integrated into daily workflows across industries.</t>
  </si>
  <si>
    <t>Ramp</t>
  </si>
  <si>
    <t>Developer of a spend-management platform designed to streamline business, improve efficiency, and build healthier enterprises. The company's platform offers card limits, insightful savings opportunities, automated expense management, receipt matching, corporate card, and accounting integration, all without extra fees, enabling businesses to modernize operations, enhance efficiency, and build stronger companies.</t>
  </si>
  <si>
    <t>New York, NY</t>
  </si>
  <si>
    <t>Wayve</t>
  </si>
  <si>
    <t>Developer of an artificial intelligence-based driving software designed to offer autonomous driving. The company deploys autonomous vehicles on public roads with deep learning, pioneering the AI software, lean hardware, and fleet learning platform, enabling businesses to offer systems that quickly and safely adapt to new driving domains anywhere in the world.</t>
  </si>
  <si>
    <t>Flexport</t>
  </si>
  <si>
    <t>Developer of a freight forwarding platform designed to provide visibility and control over the entire supply chain. The company's platform arranges goods to be transported and subsequently tracks the inventory in real-time in orders carried by ocean, air, and road freight, enabling logistics organizations to optimize transportation routes and inventory management.</t>
  </si>
  <si>
    <t>Uber Freight</t>
  </si>
  <si>
    <t>Operator of a trucking company intended to match truck drivers with available load capacity to meet logistics deadlines. The company offers a logistics management platform facilitated by a mobile application to book load capacities, hire maintenance services and purchase tires, fuel and new and old vehicles by availing of the discounts offered through their incentive programs, enabling carriers and their drivers in the trucking industry to successfully meet logistics timelines with transparent pricing, fast payments and the ability for carriers to book a load through their application.</t>
  </si>
  <si>
    <t>Mistral AI</t>
  </si>
  <si>
    <t>Developer of a configurable AI platform designed to give enterprises full control over their artificial intelligence workflows. The company offers open-source foundation models, enterprise-grade tools, and privacy-first deployment options, enabling developers, researchers, and large organizations to build, adapt, and run across environments with complete data ownership.</t>
  </si>
  <si>
    <t>Paris, France</t>
  </si>
  <si>
    <t>AVATR Technology</t>
  </si>
  <si>
    <t>Manufacturer of intelligent electric vehicles designed for sustainable mobility purpose. The company integrates a modular architecture supporting multiple body types, dual-motor systems with high torque, advanced driver-assistance algorithms, HarmonyOS-based infotainment, over-the-air software updates, high-voltage fast charging, thermal management for extended range, lightweight body design, and secure domain fusion for powertrain, cockpit, and autonomous driving, enabling automotive markets to deliver enhanced safety, energy efficiency, and personalized digital experiences.</t>
  </si>
  <si>
    <t>Chongqing, China</t>
  </si>
  <si>
    <t>Shiprocket</t>
  </si>
  <si>
    <t>Developer of an e-commerce shipping and enablement application designed to offer negotiated freight rates. The company offers a machine-learning-based data engine that recommends proper courier service for a business and chooses a courier company, prints shipping labels, and tracks orders from a single panel, enabling businesses to manage their shipping and returns simply and effectively.</t>
  </si>
  <si>
    <t>Gurugram, India</t>
  </si>
  <si>
    <t>Figure AI</t>
  </si>
  <si>
    <t>Developer of humanoid robots designed to address drastic labor shortages and reduce the number of workers in unsafe jobs. The company develops commercially viable autonomous humanoid robots that lend support across manufacturing, logistics, warehousing, and retail, enabling businesses to deploy and automate manual labor.</t>
  </si>
  <si>
    <t>Nuro</t>
  </si>
  <si>
    <t>Developer of autonomous vehicle technology designed for the transportation sector. The company offers an autonomous driving system that can be integrated across vehicles from passenger vehicles to long-haul trucks, enabling clients to manage their fleet at an affordable price and reduce risk.</t>
  </si>
  <si>
    <t>Skild AI</t>
  </si>
  <si>
    <t>Developer of a robotics foundation model designed to enable robots to autonomously perceive, act, and interact across diverse environments. The company's technology provides a scalable AI system that can learn from multimodal data and adapt across various robot types and tasks, enabling businesses to automate physical work with human-like versatility.</t>
  </si>
  <si>
    <t>Pittsburgh, PA</t>
  </si>
  <si>
    <t>JD Digits</t>
  </si>
  <si>
    <t>Developer of a cloud computing platform designed to provide customized financial services and digitised solutions for industrial upgrade. The company's platform offers data technology, AI, IoT and blockchain, which produces internet financial development models, enabling individual and business users to get safe, high-yield, customized financial services, investment and financial management.</t>
  </si>
  <si>
    <t>Neura Robotics</t>
  </si>
  <si>
    <t>Manufacturer of robotic assistants intended to enhance robots' cognitive abilities. The company's robotic assistants cooperate with humans naturally and adapt autonomously to changes in the environment while performing a task, enabling companies from medicine technologies, home automation, and food production to accelerate production processes.</t>
  </si>
  <si>
    <t>Metzingen, Germany</t>
  </si>
  <si>
    <t>Thinking Machines Lab</t>
  </si>
  <si>
    <t>Developer of artificial intelligence systems designed to support the research and development of AI technologies. The company offers artificial intelligence models, research infrastructure and multimodal machine learning systems used for studying human-AI collaboration and adaptable AI applications across scientific and programming domains, enabling organizations and researchers to build and operate artificial intelligence technologies.</t>
  </si>
  <si>
    <t>Indigo Ag</t>
  </si>
  <si>
    <t>Provider of plant microbiome agricultural services intended to increase crop yield. The company's plant microbiome agricultural services use a database of genomic microbe information to predict which microbes are most beneficial to the health of the crops and apply these specially selected microbes in the form of a seed coating, enabling farmers to reduce risk and increase profitability.</t>
  </si>
  <si>
    <t>Boston, MA</t>
  </si>
  <si>
    <t>Palmetto</t>
  </si>
  <si>
    <t>Developer of energy management and consumption tracking platform designed to monitor and optimize solar energy consumption. The company's platform provides real-time insights for tracking daily energy usage while offering recommendations from solar experts as well as designing and installing solar systems, enabling homeowners to view system performance with transparency and track renewable energy usage.</t>
  </si>
  <si>
    <t>Charlotte, NC</t>
  </si>
  <si>
    <t>Perplexity</t>
  </si>
  <si>
    <t>Developer of AI-powered information discovery tools designed for answering questions and exploring topics. The company's tools provide real-time answers, personalized search experiences, and seamless integration with various data sources, enabling researchers, professionals, and individuals to efficiently access comprehensive information that enhances their research and decision-making processes.</t>
  </si>
  <si>
    <t>Tilt Finance</t>
  </si>
  <si>
    <t>Operator of a financial technology company intended to expand access to fair credit. The company's application offers features including cash advance, interest checking, automated savings, personalized recommendations, and budget tracking with financial security through machine learning models, enabling users to access financial knowledge and improve financial outcomes seamlessly.</t>
  </si>
  <si>
    <t>Garden City, ID</t>
  </si>
  <si>
    <t>Cyera</t>
  </si>
  <si>
    <t>Developer of a holistic data storage and security platform designed to prevent breaches and catch data risks in an organization. The company's platform automatically discovers and classifies data, protects it from exposure, and maintains a resilient posture, enabling organizations to manage and protect sensitive data and helping businesses to realize transformative data-driven outcomes.</t>
  </si>
  <si>
    <t>Shield AI</t>
  </si>
  <si>
    <t>Operator of a defense technology company intended to restructure battlefields and commercial aviation. The company uses machines to execute unscripted tasks in denied and dynamic environments without direct operator inputs and offers an integrated artificial intelligence framework for data management and analysis, enabling aircraft teams to perform missions ranging from room clearance to penetrating air defense systems and dog fighting.</t>
  </si>
  <si>
    <t>San Diego, CA</t>
  </si>
  <si>
    <t>Cohere</t>
  </si>
  <si>
    <t>Developer of a natural language processing software designed to build machines that understand the world and to make them safely accessible to all. The company's software provides access to language models that read multiple web pages, which also teach users to understand the meaning, sentiment, and tone of the words, enabling businesses to improve comprehension capabilities to build personalized user experiences.</t>
  </si>
  <si>
    <t>Toronto, Canada</t>
  </si>
  <si>
    <t>AlphaSense</t>
  </si>
  <si>
    <t>Developer of a web-based market intelligence platform intended to offer critical insights, topics, and industries. The company's platform collects financially relevant data from various sources, making it searchable using artificial intelligence and natural language queries, advanced linguistic search, and natural language processing algorithms, enabling research professionals to search, navigate, set alerts, and analyze data points with accuracy.</t>
  </si>
  <si>
    <t>Inflection AI</t>
  </si>
  <si>
    <t>Developer of a conversational AI platform designed to enable natural interaction with intelligent systems. The company offers personalized dialogue, multimodal input support, scalable deployment, and privacy-focused architecture, enabling enterprises, developers, and end-users to integrate advanced AI assistants into applications and services that require contextual understanding, efficient task execution, and human-like responsiveness across various domains.</t>
  </si>
  <si>
    <t>Didi Autonomous Driving</t>
  </si>
  <si>
    <t>Developer and researcher of autonomous driving systems intended to develop robotaxis. The company engages in technology development in the fields of network technology, transportation equipment technology, intelligent driving car technology, autonomous driving car technology, and auto parts technology, providing development and solutions in the field of autonomous driving systems.</t>
  </si>
  <si>
    <t>Helsing</t>
  </si>
  <si>
    <t>Operator of a defense artificial intelligence company intended to protect democracies. The company's platform uses artificial intelligence to integrate data from infrared, video, sonar and radio frequencies, gleaned from sensors on military vehicles to create a real-time picture of battlefields, enabling democratic societies to make sovereign decisions and control their ethical standards.</t>
  </si>
  <si>
    <t>Munich, Germany</t>
  </si>
  <si>
    <t>Faire</t>
  </si>
  <si>
    <t>Operator of a wholesale platform intended to help retailers discover new brands and products they can stock in their stores. The company's marketplace makes it simple for retailers to build wholesale relationships that are more successful and more profitable via flexible payment terms, efficient shipping options, and easy-to-use ordering and inventory management tools, enabling clients to get access to an end-to-end wholesale buying and selling process in one place, at scale.</t>
  </si>
  <si>
    <t>SambaNova Systems</t>
  </si>
  <si>
    <t>Developer of a chips-to-model computing built for an AI platform designed to power machine learning and data analytics. The company's platform focuses on developing a system architecture that is flexible, scalable, and optimized for data flow, enabling manufacturers to use AI-powered hardware to create faster, more efficient algorithms.</t>
  </si>
  <si>
    <t>NIO China</t>
  </si>
  <si>
    <t>Developer of electric vehicles designed to promote sustainability. The company is a new subsidiary of NIO Inc. (NYS: NIO) and will be headquartered in Hefei, China.</t>
  </si>
  <si>
    <t>Hefei, China</t>
  </si>
  <si>
    <t>Dataminr</t>
  </si>
  <si>
    <t>Natural Language Technology</t>
  </si>
  <si>
    <t>Developer of a real-time information discovery and event detection software designed for risk mitigation and strategic decision-making purposes. The company's platform utilizes advanced artificial intelligence and machine learning to analyze public data signals from various sources in multiple languages, identifying the earliest indicators of high-impact events, emerging physical threats, and cyber risks, enabling corporate security, public sector, and news organizations to maintain situational awareness, accelerate crisis response, and protect global assets and personnel with unmatched speed.</t>
  </si>
  <si>
    <t>Freenome</t>
  </si>
  <si>
    <t>AI in Healthcare</t>
  </si>
  <si>
    <t>Developer of a multi-omics platform designed to detect cancer at an early stage through a routine blood draw. The company's platform uses a proprietary algorithm method that aims to reinvent disease management through systematized early detection and intervention of disease screenings, enabling doctors to treat cancer and other diseases at manageable stages.</t>
  </si>
  <si>
    <t>Brisbane, CA</t>
  </si>
  <si>
    <t>ContentSquare</t>
  </si>
  <si>
    <t>Developer of a digital experience insights optimization platform designed to help businesses understand how users are interacting. The company's platform uses behavioral data, artificial intelligence, and big data to offer automatic recommendations and measure content performance, understand visitor intentions, and explain consumer decisions when they do or do not purchase, enabling clients to increase engagement and reduce operational costs.</t>
  </si>
  <si>
    <t>Beijing Momenta Technology Company</t>
  </si>
  <si>
    <t>Developer of autonomous driving systems intended for vehicle safety, efficiency, and convenience through advanced artificial intelligence. The company offers autonomous driving solutions through big data, model optimisation platforms, perception development, path planning algorithms, and other deep-learning software, enabling clients to live a better life through improved safety and efficiency of driving through artificial intelligence.</t>
  </si>
  <si>
    <t>VAST Data</t>
  </si>
  <si>
    <t>Developer of a data orchestration platform designed to accelerate time-to-insight for workload-intensive applications. The company's software offers scalable performance, convenient data management, and enhanced productivity with an AI Operating System that natively unifies and orchestrates storage, database, and compute, enabling businesses to access operational efficiency and improved performance to implement analytics.</t>
  </si>
  <si>
    <t>Plata Card</t>
  </si>
  <si>
    <t>Developer of a financial platform intended to redefine the way people interact with their personal finances. The company's platform allows one to make purchases and cover expenses without the need for cash, offers benefits such as free insurance, discounts on restaurants and deals on entertainment, enabling users to process payments and support their transactions.</t>
  </si>
  <si>
    <t>Mexico City, Mexico</t>
  </si>
  <si>
    <t>Abound (Consumer Finance)</t>
  </si>
  <si>
    <t>Developer of a lending platform designed to provide loans by considering a full financial picture. The company's platform utilizes open banking data to build a granular view of customers' financial circumstances, understand their affordability, and place less reliance on credit reference agency scores, enabling individuals with diverse financial backgrounds to access affordable loans while maintaining control over their repayments.</t>
  </si>
  <si>
    <t>Airtable</t>
  </si>
  <si>
    <t>Developer of low-code app-building software intended for workflow digitisation purposes. The company's platform combines a relational database layer, configurable tables and views, automation and scripting capabilities, AI-agent extensions, and integrations with other business tools, enabling organizations of all sizes to unify data, automate processes, build custom applications, and reduce reliance on siloed systems.</t>
  </si>
  <si>
    <t>ESWIN Computing</t>
  </si>
  <si>
    <t>Developer of IoT chips used in display devices and wearable devices. The company focuses on design, test, and material of IoT and human-computer interaction integrated circuits, providing users with chips used in display devices, artificial intelligence, Internet of Vehicles, and wearable devices fields.</t>
  </si>
  <si>
    <t>Neuralink</t>
  </si>
  <si>
    <t>Intelligent sensors and devices</t>
  </si>
  <si>
    <t>Developer of an implantable brain-machine interface designed to help people with paralysis. The company's interface treats and diagnoses neurological conditions in humans and, conceivably, augments human cognitive powers, enabling doctors to treat serious brain diseases in the short term.</t>
  </si>
  <si>
    <t>Fremont, CA</t>
  </si>
  <si>
    <t>Mission Lane</t>
  </si>
  <si>
    <t>Provider of consumer finance services intended to help individuals access fair and transparent credit. The company offers a credit card with simplified terms, data-driven assessments, data-backed approvals, and a focus on user progress, respectful user experience, enabling underserved borrowers to build or rebuild credit with clarity and ease.</t>
  </si>
  <si>
    <t>Atlanta, GA</t>
  </si>
  <si>
    <t>Xaira Therapeutics</t>
  </si>
  <si>
    <t>Developer of life-changing medicines designed through the transformative power of artificial intelligence. The company develops computational methods and models, data sets, platforms, and processes to expand science's power to cure disease, enabling patients to leverage these approaches to create novel therapeutics.</t>
  </si>
  <si>
    <t>GreenScale</t>
  </si>
  <si>
    <t>Operator of sustainable data centers intended to support the digital infrastructure of hyper-scale, artificial intelligence, and cloud customers. The company offers managed, move-in-ready, equipped infrastructure technology data centers that comply with local regulations and prioritize sustainability, using renewable energy and eco-friendly practices to reduce environmental waste, enabling hyperscale, cloud, and enterprise customers to expand efficiently while supporting environmentally responsible growth.</t>
  </si>
  <si>
    <t>World Labs</t>
  </si>
  <si>
    <t>Developer of spatial intelligence models designed to enable machines to perceive, generate, reason, and interact with the three-dimensional world. The company offers multimodal world generation from text, images, video, and panoramas, interactive editing, persistent and spatially consistent environments, and API access for integration, enabling creators, developers, studios, and enterprises to build immersive experiences, simulations, and interactive digital worlds.</t>
  </si>
  <si>
    <t>Liquidity</t>
  </si>
  <si>
    <t>Operator of an investment fund intended to offer growth capital for tech companies across North America, Europe, Asia-Pacific, the Middle East, and North Africa. The company offers large-scale, non-dilutive, credit facilities tailored to specific needs including term loans, revolving credit, monthly recurring revenue (MRR) line, and acquisition financing along with a platform that assesses and scores credit risk, optimizes portfolios, and predicts market trends, enabling companies to scale their growth and investors to improve return on investments.</t>
  </si>
  <si>
    <t>Face++</t>
  </si>
  <si>
    <t>Computer Vision</t>
  </si>
  <si>
    <t>Developer of artificial intelligence specializing in IoT applications. The company has developed an AIoT product system built around integrated hardware and software solutions catering to three core applications: Consumer IoT, City IoT, and Supply Chain IoT, enabling clients to quickly and efficiently build an AI infrastructure.</t>
  </si>
  <si>
    <t>Securonix</t>
  </si>
  <si>
    <t>Developer of a cloud-based security analytics platform designed to detect and respond to cyber threats across enterprise environments. The company's platform features user and entity behavior analytics, security information and event management, automated threat detection, incident response orchestration, real-time monitoring, and integration with third-party security tools, enabling large enterprises and security teams with comprehensive threat visibility, accelerated response times, and enhanced protection against complex cyber risks.</t>
  </si>
  <si>
    <t>San Mateo, CA</t>
  </si>
  <si>
    <t>Saviynt</t>
  </si>
  <si>
    <t>Developer of cloud security and identity governance software designed to help enterprises scale cloud initiatives and solve security and compliance challenges. The company's software combines granular application access, risk and usage analytics, and real-time prevention with risk signatures to integrate risk analytics and intelligence with privilege management, enabling enterprises to secure applications, data, and infrastructure in a single platform.</t>
  </si>
  <si>
    <t>El Segundo, CA</t>
  </si>
  <si>
    <t>Zwift</t>
  </si>
  <si>
    <t>Developer of an interactive fitness platform designed to transform monotonous solo indoor cycling and running workouts into social adventures. The company's platform connects with stationary trainers and playback devices so that cyclists can pedal indoors while immersed in any number of virtual landscapes on the screen, enabling users to join in rides together with friends.</t>
  </si>
  <si>
    <t>Long Beach, CA</t>
  </si>
  <si>
    <t>KoBold Metals</t>
  </si>
  <si>
    <t>Operator of a mineral exploration company intended to discover materials critical for the electric vehicle and renewable energy revolutions. The company's artificial intelligence tools build on the concept of efficacy of information (EOI) to determine which data to collect at each exploration step, thereby maximizing uncertainty reduction, enabling clients to improve the pace and efficacy of natural resource exploration materially.</t>
  </si>
  <si>
    <t>Berkeley, CA</t>
  </si>
  <si>
    <t>Applied Intuition</t>
  </si>
  <si>
    <t>Developer of an autonomous vehicle platform designed for simulation, validation, and deployment of advanced driver-assistance and automated driving systems. The company's platform integrates artificial intelligence-powered development tools with modular software architecture, enabling automotive manufacturers and mobility companies to optimize autonomous system performance and streamline integration across various vehicle types and operational environments.</t>
  </si>
  <si>
    <t>Nanjing LingHang Technology</t>
  </si>
  <si>
    <t>Developer of an online car-hailing platform designed to provide professional travel services to individuals and corporates. The company's platform focuses on autonomous driving services and is self-operated, equipped with a connected car security system, AI face recognition system and sub-meter-level high-precision map positioning system, enabling customers to enjoy the professional, efficient and safe ride-hailing services easily.</t>
  </si>
  <si>
    <t>Nanjing, China</t>
  </si>
  <si>
    <t>Automation Anywhere</t>
  </si>
  <si>
    <t>Developer of an automation success platform designed to augment the human workforce by automating repetitive business processes. The company's platform provides a system for building and executing software bots powered by artificial intelligence and is trained to automate complex business processes involving any application, enabling clients to reduce operational costs and error rates.</t>
  </si>
  <si>
    <t>Quantinuum</t>
  </si>
  <si>
    <t>Operator of a technology company intended for developing, commercializing, and applying quantum computing. The company offers quantum hardware that delivers scalability and precision through trapped-ion technology and develops toolkits to write, optimize, and execute programs, democratizing access to quantum systems, enabling industry and researchers to achieve breakthroughs, improve operational capabilities, and stay at the forefront of innovation in their respective fields.</t>
  </si>
  <si>
    <t>Broomfield, CO</t>
  </si>
  <si>
    <t>Ping An Medical and Healthcare Management</t>
  </si>
  <si>
    <t>Developer of a smart medical insurance management platform for medical insurance companies. The company is the core member of the smart city construction and big medical project of Ping An Group, and its smart medical insurance platform provides comprehensive insurance management services including fee control services, medical resource management, file applications, etc.</t>
  </si>
  <si>
    <t>Shanghai, China</t>
  </si>
  <si>
    <t>Farmers Business Network</t>
  </si>
  <si>
    <t>Operator of a farmer-to-farmer agronomic information network designed to help farmers in the management of their data and gain insights from each other. The company's network predominantly collects data extracted from farm equipment as well as manually recorded data from farmers to offer insights in areas such as seed selection, product comparison and benchmarking field performance over time, enabling farmers to make informed decisions.</t>
  </si>
  <si>
    <t>San Carlos, CA</t>
  </si>
  <si>
    <t>Arctic Wolf</t>
  </si>
  <si>
    <t>Developer of a cybersecurity platform designed to keep valuable business data safe. The company's platform facilitates continuous vulnerability and risk management and uses application programming interfaces and machine learning to offer real-time monitoring, analysis, and alerts on users' behavioral and cloud resources, enabling businesses to combat cybercrime and detect threats without the need to build their own security operations center.</t>
  </si>
  <si>
    <t>Eden Prairie, MN</t>
  </si>
  <si>
    <t>1X</t>
  </si>
  <si>
    <t>Developer of humanoid robots designed to assist in tasks by providing labor through safe, intelligent humanoids that work alongside people. The company's platform integrates robotics, artificial intelligence and user interaction capabilities to augment humans in the workforce, enabling residential users to perform household chores and enhance daily living convenience through automated assistance and smart technology.</t>
  </si>
  <si>
    <t>Trax</t>
  </si>
  <si>
    <t>Developer of an image recognition platform designed to deliver accurate and reliable performance analysis for consumer goods companies. The company's platform turns retail shelf images into real-time actionable insights, enabling manufacturers and retailers globally to control performance gaps, identify category opportunities, and enhance revenue at various points of sale effectively.</t>
  </si>
  <si>
    <t>Tradeshift</t>
  </si>
  <si>
    <t>Developer of a cloud-based supply chain platform designed to facilitate digital trade transactions and streamline accounts payable processes for businesses. The company's platform automates invoice processing, enhances supplier onboarding, and ensures compliance with global e-invoicing regulations, enabling organizations to reduce operational costs and improve cash flow management through efficient financial operations.</t>
  </si>
  <si>
    <t>Sunbit</t>
  </si>
  <si>
    <t>Developer of a preferred payment platform designed to split up purchases into easier and smaller payments. The company's artificial intelligence and machine learning technology approves the majority of people who apply and eases the stress of paying for expenses by giving people more options on how and when to pay, offers a point-of-sale lending technology available at several service locations, including auto dealership service centers, optical practices, dentist offices, and specialty healthcare services, enabling clients to eliminate financial waste and passing the savings back to the people.</t>
  </si>
  <si>
    <t>Los Angeles, CA</t>
  </si>
  <si>
    <t>OneTrust</t>
  </si>
  <si>
    <t>Developer of a governance platform designed to help in tackling privacy management. The company's platform is comprehensive, integrated and technology-oriented and helps in readiness and privacy impact assessments, data inventory and mapping automation, website scanning and consent management, subject rights requests, incident reporting and vendor risk management, enabling businesses to comply with data privacy regulations across sectors and jurisdictions.</t>
  </si>
  <si>
    <t>Toutiao</t>
  </si>
  <si>
    <t>Provider of a personalized news application designed to share news based on big data analysis. The company's application integrates contents for users by gradually learning what the readers enjoy through analysis on data obtained from their social networking accounts, enabling users to get relevant news, online books, videos and other content of their choice.</t>
  </si>
  <si>
    <t>Treeline Biosciences</t>
  </si>
  <si>
    <t>Developer of transformative precision medicines intended to treat cancer and other serious conditions. The company's platform is involved in assessments of normal and disease pathophysiology, experimental results, genomics, and pattern recognition to develop transformative precision addressing unmet patient needs, enabling medical professionals to cure cancer and other serious conditions.</t>
  </si>
  <si>
    <t>Watertown, MA</t>
  </si>
  <si>
    <t>Intellifusion (SHG: 688343)</t>
  </si>
  <si>
    <t>Shenzhen Intellifusion Technologies Co Ltd is engaged in providing customers with self-developed core products such as algorithm software and chips with artificial intelligence algorithms and chip technology as the core products. The company's products include chip products; modules and cards; and IP licensing and customization services.</t>
  </si>
  <si>
    <t>Shenzhen, China</t>
  </si>
  <si>
    <t>Clearco</t>
  </si>
  <si>
    <t>Operator of an online financial platform intended to provide growth capital to e-commerce companies. The company's platform uses proprietary software and data science models to identify high-growth funding opportunities and offers allocation in exchange for a steady revenue share of earnings until it's paid back, plus a certain percent fee, enabling startups to access an alternative source of allowance for their businesses without diluting equity.</t>
  </si>
  <si>
    <t>Human Longevity</t>
  </si>
  <si>
    <t>Developer of a biotechnology platform designed to combine genomic and phenotypic information to accelerate the understanding of human health. The company's platform addresses the age-related decline in endogenous stem cell function and concentrates on cancer, diabetes, obesity, heart and liver diseases, and dementia by combining deoxyribonucleic acid sequencing and expert analysis with machine learning, enabling people to shape their health and shift the practice of medicine from reactive to proactive technologies.</t>
  </si>
  <si>
    <t>Physical Intelligence</t>
  </si>
  <si>
    <t>Operator of a general-purpose company intended to bridge the gap between artificial intelligence and the physical world. The company develops foundation models and learning algorithms to power robots and other physically actuated devices, enabling industries to perform tasks across diverse applications.</t>
  </si>
  <si>
    <t>Trusty Cars</t>
  </si>
  <si>
    <t>Operator of an online car marketplace intended for buyers and sellers to deal directly without middlemen. The company's marketplace uses a mix of human expertise and proprietary pricing algorithms to inspect and evaluate vehicles, giving buyers and sellers a pricing system and transactional framework, and also assisting with the transfer of vehicle ownership, payments, and all other necessary paperwork, enabling consumers to buy and sell used cars easily with proper information.</t>
  </si>
  <si>
    <t>Singapore, Singapore</t>
  </si>
  <si>
    <t>ClickHouse</t>
  </si>
  <si>
    <t>Developer of an online analytical processing database management system designed to generate analytical reports using SQL queries. The company's system supports industry query performance with reduced storage requirements and processes a large number of rows and gigabytes of data per server in a short time, enabling enterprises with a secure, reliable, and scalable resolution to streamline all their data processing.</t>
  </si>
  <si>
    <t>DataRobot</t>
  </si>
  <si>
    <t>Developer of an enterprise artificial intelligence platform designed to accelerate data science by automating the end-to-end journey from data to value. The company's platform democratizes data science with automation for building, deploying, and managing machine learning models and maximizes business value by delivering AI at scale, enabling organizations to drive business outcomes by deploying trusted applications within their organizations.</t>
  </si>
  <si>
    <t>Baichuan AI</t>
  </si>
  <si>
    <t>Developer of large-scale language artificial intelligence models and intelligent applications intended for enterprises, developers, and research institutions. The company's services aim to create a Chinese version of the OpenAI basic model and disruptive upper-level applications and enhance language artificial intelligence in search, multi-modal, education, medical, and other aspects, enabling users in the public to easily and universally obtain world knowledge and professional services.</t>
  </si>
  <si>
    <t>Tenstorrent</t>
  </si>
  <si>
    <t>Developer of application-specific integrated circuit processors designed to provide training and adaptability to algorithms. The company offers computing architectures, acceleration hardware, open source compilers, and development tools that facilitate workload optimization across scalable systems, enabling organizations in sectors such as tech and semiconductors to improve computational efficiency, model performance, support customization through open architectures, and integrate workloads into diverse operational environments.</t>
  </si>
  <si>
    <t>Waabi</t>
  </si>
  <si>
    <t>Developer of a generative artificial intelligence-powered autonomous trucking platform designed to revolutionize logistics. The company Platform offers an interpretable and fully validated artificial intelligence stack integrated with Waabi World, a realistic and scalable simulation environment, enabling clients with the safe and cost-effective deployment of self-driving trucks for factory-level integration and large-scale commercialization.</t>
  </si>
  <si>
    <t>Magic</t>
  </si>
  <si>
    <t>Operator of a software development company intended to build an aligned and complete artificial intelligence. The company's platform develops reliable ways to align with human values, offers reinforcement learning that teaches artificial intelligence through trial and error, and provides systems that typically pick up a vast amount of information during training and then use it during inference, enabling developers to find, consider, and reuse code to automate software engineering and research.</t>
  </si>
  <si>
    <t>Luma AI</t>
  </si>
  <si>
    <t>Operator of a video generator platform intended to offer multimodal AI to expand human imagination and capabilities. The company's platform utilizes a neural capture and rendering system that makes photorealistic captures from casually captured smartphone photos a reality for the e-commerce, real estate, and three-dimensional games industry, enabling users to experience photos and videos in a mixed-reality three-dimensional future.</t>
  </si>
  <si>
    <t>Konfio</t>
  </si>
  <si>
    <t>Developer of an online lending platform designed to offer micro-business loans. The company's platform complements traditional financial analysis and helps clients achieve economic growth through access to credit options with a proprietary algorithm that combines data and technology to measure creditworthiness, providing convenience and affordability to customers who are creditworthy but historically under-served by traditional banking, enabling small businesses to grow operations and businesses with competitive rates.</t>
  </si>
  <si>
    <t>CHAOS</t>
  </si>
  <si>
    <t>Operator of an advanced distributed detection and effects technology company intended to support multi-domain operational needs. The company integrates record-breaking time-synchronised coherent network operations, sensor and communications subsystems adaptable to land, sea, and air environments, scalable mobile deployment architectures, and software-defined control features, enabling defence and critical-industry clients to achieve improved situational awareness, multi-domain tracking, coordinated response capabilities, and operational resilience.</t>
  </si>
  <si>
    <t>Kraken Technologies</t>
  </si>
  <si>
    <t>Developer of a cloud-based energy system management platform designed to aggregate and oversee various renewable energy assets. The company's platform applies advanced algorithms and artificial intelligence to optimize and monetize large portfolios of distributed energy resources, enabling energy asset owners and operators to access new revenue streams, improve operational efficiency, and contribute to the expansion of sustainable power infrastructure.</t>
  </si>
  <si>
    <t>Jellysmack</t>
  </si>
  <si>
    <t>Developer of a creative video platform designed to enhance brand recognition and build communities. The company's platform creates multiple videos per month for its social brand channels and uses deep and machine-learning-powered technology that identifies social video trends and optimizes video performance using video content, enabling millennials to distribute their video content through vertical social channels.</t>
  </si>
  <si>
    <t>Harvey</t>
  </si>
  <si>
    <t>Developer of a legal technology platform designed to assist law practitioners. The company's platform utilizes artificial intelligence for task execution, automated legal research with precise citations, and contract interpretation, and offers secure collaboration tools, enabling law firms to streamline workflows, enhance accuracy, and focus on complex reasoning while minimizing time spent on routine paperwork.</t>
  </si>
  <si>
    <t>Apptronik</t>
  </si>
  <si>
    <t>Operator of a robotics company intended to deliver and scale a variety of general-purpose robots. The company's robots handle tasks typically performed by humans and offer versatile functionality, such as case picking, down stacking, trailer unloading, palletizing, sortation, and heavy lifting, enabling industries to address labor shortages, improve job satisfaction by taking over undesirable tasks, and enhance efficiency.</t>
  </si>
  <si>
    <t>Austin, TX</t>
  </si>
  <si>
    <t>Lentra</t>
  </si>
  <si>
    <t>Developer of an online lending platform designed to help banks democratize digital lending. The company's artificial intelligence-driven modular architecture helps banks create customized lending products and customer experiences, resulting in increased access to the new customer base, reduced non-performing assets, and improved operational efficiencies, enabling clients to expand their reach, reduce non-performing assets, optimize operational efficiencies, and use pay-as-you-go pricing for their growth.</t>
  </si>
  <si>
    <t>Pune, India</t>
  </si>
  <si>
    <t>Flock Safety</t>
  </si>
  <si>
    <t>Developer of a camera technology designed to capture images to eliminate crime while protecting privacy. The company's system consists of an outdoor camera that can track cars, record license plates, and provide data to local police officers when crimes occur and also proactively notify them when a stolen vehicle enters a neighborhood, enabling residents to assist police in solving crimes by forwarding them data and keeping their neighborhood safe.</t>
  </si>
  <si>
    <t>Bolt</t>
  </si>
  <si>
    <t>Developer of a checkout and payment processing platform designed for seamless online transactions. The company's platform offers one-click checkout, fraud detection, and payment integration, featuring user authentication, multi-device compatibility, automated transaction security, and merchant analytics, enabling businesses to streamline purchases, reduce cart abandonment, enhance payment security, and improve customer experience across digital commerce environments.</t>
  </si>
  <si>
    <t>SandboxAQ</t>
  </si>
  <si>
    <t>Developer of advanced quantum and artificial intelligence technology designed to enhance data security and operational efficiency across various industries. The company offers large quantitative models, AQ-enabled navigation, cryptographic and identity management tools, AI simulation data generation, and educational initiatives, enabling businesses to advance drug discovery, develop quantum-resistant cybersecurity, support navigation when GPS is compromised, and train professionals in AI-quantum disciplines.</t>
  </si>
  <si>
    <t>Kunlunxin</t>
  </si>
  <si>
    <t>Manufacturer of semiconductors and chips designed for artificial intelligence processors and voice interaction. The company develops and manufactures advanced semiconductors and chips, providing enterprises with domestically made high-end chips, thereby enabling clients to protect websites from security violations like malware and denial of service attacks.</t>
  </si>
  <si>
    <t>Knock (Real Estate Services (B2C))</t>
  </si>
  <si>
    <t>Developer of an online real estate bidding platform designed to help customers simplify their real estate transactions. The company's platform uses data science to price real estate properties, provides insights, and predicts price variations, enabling real estate agents and homeowners to buy and sell properties.</t>
  </si>
  <si>
    <t>Gusto</t>
  </si>
  <si>
    <t>Developer of a cloud-based payroll and human resource management platform designed to provide employee benefits. The company's platform offers features including payroll, benefits, and team management, time tracking, as well as health, dental, and vision insurance tracking, enabling small businesses to take care of their team's requirements.</t>
  </si>
  <si>
    <t>Attentive</t>
  </si>
  <si>
    <t>Developer of a personalized mobile messaging platform designed to help brands and organizations interact with customers. The company's platform uses behavioral data and helps brands automatically send personalized mobile messages across the entire customer lifecycle, from product recommendations and limited-time sales to payments and real-time customer service, enabling e-commerce and retail businesses to connect with mobile shoppers and grow revenue.</t>
  </si>
  <si>
    <t>Hoboken, NJ</t>
  </si>
  <si>
    <t>Uniphore</t>
  </si>
  <si>
    <t>Developer of enterprise AI (artificial intelligence) software designed to operationalize agentic AI within business workflows through a sovereign, composable, and secure platform spanning agents, models, knowledge, and data. The company offers a business AI cloud and suite featuring model orchestration including small language models, optimized inferencing, knowledge graphs, neurosymbolic reasoning, embedded workflow applications, and enterprise-grade security and governance, enabling global enterprises to deploy AI across customer service, marketing, sales, and people operations with integrated data control and scalable performance.</t>
  </si>
  <si>
    <t>Replit</t>
  </si>
  <si>
    <t>Developer of a collaborative software development platform designed for creating and deploying applications. The company's platform harnesses artificial intelligence and incorporates a user-friendly interface, live teamwork features and compatibility with various programming languages, enabling developers and teams to optimize coding processes, boost efficiency and design, evaluate and implement software entirely online.</t>
  </si>
  <si>
    <t>Foster City, CA</t>
  </si>
  <si>
    <t>Ayar Labs</t>
  </si>
  <si>
    <t>Developer of optical interconnect technology designed to accelerate data movement in computing systems. The company's platform uses silicon photonics and integrated light-based components to deliver higher bandwidth, lower latency, and improved energy efficiency, enabling data center and AI infrastructure operators to handle large-scale workloads and overcome traditional communication bottlenecks.</t>
  </si>
  <si>
    <t>Improbable Worlds</t>
  </si>
  <si>
    <t>Developer of a metaverse platform intended for communities, companies and brands to have a positive social and economic impact in the real world. The company offers a computation platform that helps to create simulations of the real world, as well as helps to experience immersive and persistent virtual worlds for gaming, enabling users to play games related to defense, energy, city efficiency, health, and finance sectors.</t>
  </si>
  <si>
    <t>Vercel</t>
  </si>
  <si>
    <t>Developer of a cloud-based workflow platform designed to optimize the entire development and deployment experience for frontend teams. The company's platform hosts static websites and serverless functions that fit the jam stack deployment model, where web pages are pre-rendered and can be served by a content delivery network, enabling developers to receive the performance benefits they need efficiently.</t>
  </si>
  <si>
    <t>Covina, CA</t>
  </si>
  <si>
    <t>Coalition</t>
  </si>
  <si>
    <t>Provider of active cyber insurance to help companies lower their cyber risk and manage threats. The company combines risk assessment, security protection, and response, all in one place, enabling organizations to mitigate and prevent cyber-attacks and losses before they occur.</t>
  </si>
  <si>
    <t>Runway AI</t>
  </si>
  <si>
    <t>Developer of global AI research and technology company designed for building foundational research models and tools to create multimodal simulators. The company's tools use original image and video creation techniques, inventing interfaces for synthetic manipulation and editing using text to edit video and create a video, enabling artists, designers, and filmmakers to get an intuitive and simple visual interface.</t>
  </si>
  <si>
    <t>Skydio</t>
  </si>
  <si>
    <t>Developer of AI-powered drones designed to deliver power and flying cameras without much complexity. The company's drones use cameras and proprietary computer vision technology to recognize and avoid objects in real-time and predict the future to make intelligent decisions, enabling users to fly through various tasks and be safe from obstacles when they want to take control.</t>
  </si>
  <si>
    <t>Terminus Technologies</t>
  </si>
  <si>
    <t>Developer of Artificial Intelligence Internet of Things platform designed for urban management. The company offers technological innovation and product development using smart sensors, communication modules and data processing platforms, thereby enabling clients to improve the level of urban intelligence and to form new and efficient urban and infrastructure management models.</t>
  </si>
  <si>
    <t>Dataiku</t>
  </si>
  <si>
    <t>Developer of a centralized data platform designed to help businesses in their data journey through analytical tools. The company's platform offers predictive modeling and machine learning capabilities that allow building custom models supporting agility in organizations' data efforts via collaborative, elastic, and responsible automation models, enabling enterprises to develop their path to artificial intelligence in a human-centric way.</t>
  </si>
  <si>
    <t>ElevenLabs</t>
  </si>
  <si>
    <t>Developer of an artificial intelligence audio platform designed for creating realistic speech. The company's platform automatically integrates advanced text-to-speech technology, voice cloning, and multilingual support to dub videos and podcasts into other languages, enabling developers and content creators to produce voiceovers, enhance accessibility, and engage global audiences.</t>
  </si>
  <si>
    <t>Saronic</t>
  </si>
  <si>
    <t>Manufacturer of unmanned surface vehicles intended to enhance maritime security and domain awareness. The company designs and builds naval hardware, software, and related artificial intelligence technologies into a single scalable, fully integrated platform, enabling the defense and surveillance sectors to achieve comprehensive operational capabilities.</t>
  </si>
  <si>
    <t>Lightmatter</t>
  </si>
  <si>
    <t>Developer of photonic computing and interconnect hardware designed for high-performance data processing and communication in AI infrastructure. The company's platform combines silicon photonics, 3D-stacked optical interposers, co-packaged optics, and high-bandwidth optical engines that move data using light rather than electrons, enabling hyperscale data center operators, cloud providers, and AI system designers to scale compute clusters with greater bandwidth density, improved energy efficiency, and reduced interconnect bottlenecks for advanced artificial intelligence and high-performance workloads.</t>
  </si>
  <si>
    <t>project44</t>
  </si>
  <si>
    <t>Developer of a logistics technology designed to digitize the shipment life cycle. The company's platform brings dynamic shipment data and supply chain visibility in terms of pricing, routing, scheduling, tracking, delivery documentation, and payments, enabling enterprises to offer an end-to-end shipping experience to their customers, as well as deliver value.</t>
  </si>
  <si>
    <t>Legora</t>
  </si>
  <si>
    <t>Developer of artificial intelligence-based legal workflow software designed for research, document analysis, and drafting purposes. The company's software provides AI-assisted document review, automated contract drafting, and markup suggestions through a Microsoft Word integration, research tools that analyze internal and external sources, citation verification, and collaborative workspaces, enabling law firms and corporate legal teams to automate repetitive tasks and manage document-heavy workflows efficiently.</t>
  </si>
  <si>
    <t>Stockholm, Sweden</t>
  </si>
  <si>
    <t>Harness</t>
  </si>
  <si>
    <t>Developer of a software delivery platform designed to streamline and automate the end-to-end software development lifecycle using AI. The company's platform offers AI-driven pipeline automation, real-time delivery analytics, live notifications, verifications, workflow wizards, intelligent testing, security orchestration, and cloud cost management, enabling engineering teams in enterprises and technology companies to accelerate deployment cycles, reduce manual work, and improve software reliability.</t>
  </si>
  <si>
    <t>The Constant Company (West Palm Beach)</t>
  </si>
  <si>
    <t>Developer of cloud-based computing infrastructure intended for application hosting and deployment. The company supplies on-demand virtual machines, bare-metal servers, global network points, storage options, automated provisioning interfaces, usage-based controls, and integration tools that support varied development environments, enabling software teams, businesses, and technical operators to run workloads, manage distributed resources, and scale computing requirements in a consistent and centrally administered environment.</t>
  </si>
  <si>
    <t>West Palm Beach, FL</t>
  </si>
  <si>
    <t>Checkr</t>
  </si>
  <si>
    <t>Developer of an AI-powered people screening platform intended to provide information to power informed decisions. The company's platform aggregates and distills disparate data, customizable on-demand background checks and continuous background monitoring services, enabling clients to rely on accuracy, efficiency gains and risk mitigation.</t>
  </si>
  <si>
    <t>Clara (Financial Software)</t>
  </si>
  <si>
    <t>Developer of a spend management software designed to simplify and automate corporate expense management. The company's software offers real-time insights that centralize and analyze all company spending, automate expense reporting, approvals, and compliance, virtual cards, and tracking for all travel-related payments, enabling businesses to gain insights into spending and control budgets effectively.</t>
  </si>
  <si>
    <t>Sao Paulo, Brazil</t>
  </si>
  <si>
    <t>FOR-U Smart Freight</t>
  </si>
  <si>
    <t>Operator of a digital freight logistics platform designed to streamline cargo transportation and optimise shipment matching. The company's platform offers big data analytics, artificial intelligence-driven dispatching, and real-time freight tracking capabilities, enabling shippers and independent truck drivers to improve load utilisation and increase operational transparency across the logistics network.</t>
  </si>
  <si>
    <t>ThoughtSpot</t>
  </si>
  <si>
    <t>Developer of an enterprise analytics platform designed to analyze complex, large-scale enterprise data with an automatic, relational search engine. The company's platform connects with any on-premise, cloud, big data, or desktop data source, and also helps to generate actionable insights, enabling businesses to access enterprise and centralize data and infrastructure management with a single click.</t>
  </si>
  <si>
    <t>Human Interest</t>
  </si>
  <si>
    <t>Operator of an administration and advising platform intended to offer access to a secure financial future. The company's platform creates employee accounts automatically, where deductions are synced with payroll providers, as well as offers personalized investment advice, enabling small and medium-sized businesses to serve their employees with proper financial security.</t>
  </si>
  <si>
    <t>Perfect Day</t>
  </si>
  <si>
    <t>Producer of animal-free milk substitutes and proteins intended to offer nutritionally identical to that of cow's milk. The company's production process involves yeast fermentation of plant-based sugars and includes ingredients that are sustainable, vegan, and devoid of antibiotics, cholesterol, and lactose, providing customers with nutrient-dense and environmentally safe dairy alternatives.</t>
  </si>
  <si>
    <t>OpenEvidence</t>
  </si>
  <si>
    <t>Developer of an AI-powered information platform designed to organize medical knowledge and make it useful, accessible, and understandable. The company's platform offers a curated database of journal content, advanced medical AI search, and patient documentation tools to make more evidence-based decisions and improve patient outcomes, enabling healthcare professionals to access relevant research and improve care decision-making.</t>
  </si>
  <si>
    <t>Miami, FL</t>
  </si>
  <si>
    <t>Commure</t>
  </si>
  <si>
    <t>Developer of a cloud-based interoperable platform designed to focus on accelerating healthcare software innovation. The company's platform unifies disparate datasets, surfaces meaningful insights, accelerates performance through a suite of applications, and enables seamless innovation across the healthcare industry, enabling healthcare providers, clinicians, and staff across care facilities to advance care through collaboration.</t>
  </si>
  <si>
    <t>GoStudent</t>
  </si>
  <si>
    <t>Developer of an online learning application designed to connect students with teachers worldwide for individual or group tutoring sessions. The company's application uses artificial intelligence to support tutor selection and onboarding processes and also offers a free social homework chat, enabling students to access a range of tutoring subscription packages and discuss their questions with others.</t>
  </si>
  <si>
    <t>Vienna, Austria</t>
  </si>
  <si>
    <t>FLYR</t>
  </si>
  <si>
    <t>Developer of a revenue management platform designed to improve performance and modernize the e-commerce experience through accurate forecasting, automation, and analytics. The company's tool leverages machine learning and predictive analytics to get one-click booking or prediction of flight fares, as well as provides helpful information, including sell-out risk, historical price information, and price action prediction, enabling clients to offer an intelligent way of forecasting price elasticity, demand for seats, bundled offers, and to maximize their revenue.</t>
  </si>
  <si>
    <t>Niantic</t>
  </si>
  <si>
    <t>Developer of an augmented reality platform designed to enrich mobile gaming experiences. The company's platform manages shared state, communication, security, mapping, and augmented reality functionality, enabling users to interact in shared worlds that are seamlessly blended with the real world.</t>
  </si>
  <si>
    <t>Abridge</t>
  </si>
  <si>
    <t>Developer of an AI-powered conversation analysis application designed to bring context and understanding to every medical conversation. The company's application uses machine learning to offer an audio-based system to record and summarize medical conversations, give insights and meaning to them, enabling users to follow through with the doctors' recommendations and to reduce administrative burden.</t>
  </si>
  <si>
    <t>Motive (Hardware)</t>
  </si>
  <si>
    <t>Manufacturer of electronic fleet tracking devices designed to digitize long-haul trucking services. The company offers software and hardware to help owners of large vehicle fleets keep track of their vehicles, manage their maintenance costs, and monitor driver safety, including via AI-driven dashboard cameras installed in the cabs of trucks, enabling businesses in the physical economy to digitize their operations, enhance safety, and improve efficiency and profitability.</t>
  </si>
  <si>
    <t>Dover, DE</t>
  </si>
  <si>
    <t>BlueVoyant</t>
  </si>
  <si>
    <t>Developer of a cybersecurity platform intended to improve the security posture by detecting, responding, and remediating breaches and attacks. The company's platform offers cyber threat intelligence, managed security services, and proactive professional services with forensic capabilities for incident response, enabling businesses to execute cybersecurity defense and protection with increased visibility and professional insights.</t>
  </si>
  <si>
    <t>Insider One</t>
  </si>
  <si>
    <t>Developer of an online marketing platform intended to optimize marketing spending and target online campaigns. The company's platform uses artificial intelligence and a unified data engine to individualize from a single platform and enhance cross-channel customer experiences, enabling clients to post campaigns with social networks and offer discounts only to those customers who are less likely to buy or subscribe.</t>
  </si>
  <si>
    <t>Istanbul, Turkey</t>
  </si>
  <si>
    <t>Perk</t>
  </si>
  <si>
    <t>Developer of an intelligent travel and spend management platform designed to remove manual administrative work and improve workflow efficiency. The company offers automated travel booking, expense handling and invoice processing, enabling businesses and their employees to reduce time spent on routine tasks and focus on higher-value work.</t>
  </si>
  <si>
    <t>Glean</t>
  </si>
  <si>
    <t>Developer of an AI-powered work assistance platform designed to improve workplace efficiency by connecting and managing enterprise data. The company's platform integrates search, content creation, and task automation to enhance information access across the enterprise and allows users to build no-code and low-code AI apps and agents, enabling employees to optimize processes and automate repetitive tasks to focus on strategic activities and teams to work more effectively to achieve their goals.</t>
  </si>
  <si>
    <t>BITMAIN</t>
  </si>
  <si>
    <t>Manufacturer of bitcoin cryptocurrency mining equipment intended for cryptocurrency mining enterprises, blockchain infrastructure providers, and large-scale data centers. The company develops and sells mining equipment for bitcoin miners using ASIC chip technology, enabling users to get high-quality and efficient computing chips, high-density server equipment, and large-scale parallel computing software.</t>
  </si>
  <si>
    <t>Brevo</t>
  </si>
  <si>
    <t>Developer of a digital marketing platform designed to help businesses grow through stronger customer relationships. The company's platform includes features such as email and SMS campaign creation with drag-and-drop editors and responsive templates, transactional messaging, chat and chatbot capabilities, and integrations with hundreds of third-party tools, enabling small and mid-sized businesses to streamline customer interactions, improve engagement, enhance loyalty, and drive revenue through cohesive and measurable communication workflows.</t>
  </si>
  <si>
    <t>Etched</t>
  </si>
  <si>
    <t>Developer of an artificial intelligence-based computing hardware designed to cut LLM inference costs radically, specialized for transformers. The company offers hard-coding chips for the transformer architecture, allowing for quick computation of language models compared to general-purpose GPUs, enabling developers to generate new content in real-time.</t>
  </si>
  <si>
    <t>Socure</t>
  </si>
  <si>
    <t>Developer of a digital identity verification, compliance, and fraud prevention software designed for enterprises and public sector organizations operating in regulated environments. The company offers a platform that applies artificial intelligence and machine learning to identity verification, risk assessment, and fraud detection across industries such as financial services, government, healthcare, telecommunications, gaming, and e-commerce, enabling organizations to verify identities, meet regulatory requirements, and mitigate fraud risk with automated and scalable workflows.</t>
  </si>
  <si>
    <t>Incline Village, NV</t>
  </si>
  <si>
    <t>Quantum Systems</t>
  </si>
  <si>
    <t>Developer of commercial unmanned aerial systems designed for aerial survey and three-dimensional reconstruction. The company's drones combine long reach and electrical efficiency with the ability to vertically take off and land without additional equipment, enabling businesses to optimize decision-making through aerial data.</t>
  </si>
  <si>
    <t>Gilching, Germany</t>
  </si>
  <si>
    <t>Cognition (Software Development Applications)</t>
  </si>
  <si>
    <t>Developer of an AI software engineer designed to manage development projects from inception to completion. The company is equipped with common developer tools, including the shell, code editor and browser plans, actively collaborates with the user and can recall relevant context at every step, learn over time and fixes mistakes, enabling engineers to plan and execute complex engineering tasks requiring numerous decisions.</t>
  </si>
  <si>
    <t>Cribl</t>
  </si>
  <si>
    <t>Developer of big data software designed to simplify big data and log analytics at scale. The company's software helps to identify wasted ingestion, efficiently route low-value data, improve data with business context, and secure data based on compliance and privacy mandates, enabling businesses to get observability, intelligence, and control over their real-time data.</t>
  </si>
  <si>
    <t>The Brandtech Group</t>
  </si>
  <si>
    <t>Operator of a brand technology company intended to bridge the gap between brands and technology. The company helps brands to improve their marketing efficiently and cheaply by using technology as well as making strategic investments in companies with attractive valuations, enabling companies to increase their visibility and increase sales.</t>
  </si>
  <si>
    <t>Odyssey Therapeutics</t>
  </si>
  <si>
    <t>Operator of a biotechnology company intended to develop immunomodulators and oncology drugs. The company aims to advance the drug discovery space with its product pipeline and accelerate the path of clinical development, enabling the healthcare industry to get next-generation precision immunomodulators and oncology medicines.</t>
  </si>
  <si>
    <t>Plume (Palo Alto)</t>
  </si>
  <si>
    <t>Developer of smart connectivity platforms intended to enhance network management, security, and performance for homes and small businesses. The company's platform offers WiFi optimisation, device management, parental controls, security monitoring, automated troubleshooting, and analytics, enabling internet service providers, property managers, and homeowners to efficiently manage and secure networks while delivering reliable connectivity and insights.</t>
  </si>
  <si>
    <t>DeepSeek</t>
  </si>
  <si>
    <t>Developer of an open-source large language model designed for artificial intelligence. The company's system offers math codes, large language models, visual language models, API, etc., and the company has reduced what the model needs to remember while allowing it to "handle more tasks at the same time without slowing down, providing customers with low-cost and efficient products.</t>
  </si>
  <si>
    <t>Hangzhou, China</t>
  </si>
  <si>
    <t>Hopper</t>
  </si>
  <si>
    <t>Developer of a travel booking application designed to revolutionize the way people plan their travel. The company's platform collects, organizes, and manages historic travel data to create a trip-planning engine, powered by a structured database and intelligent notification mechanism, enabling users to find and book flight and hotel deals using only their mobile devices, save money, and travel better.</t>
  </si>
  <si>
    <t>Montreal, Canada</t>
  </si>
  <si>
    <t>bolttech</t>
  </si>
  <si>
    <t>Developer of an AI-based point-of-sale insurance platform designed to build a technology-enabled ecosystem for protection and insurance. The company's platform facilitates digital and data-driven capabilities for device protection, travel, motor, property, life insurance, and digital insurance to consumers, powers connections between insurers, distributors, and customers, enabling clients to buy and sell insurance and protection products easily and efficiently.</t>
  </si>
  <si>
    <t>Inceptio Technology</t>
  </si>
  <si>
    <t>Developer of autonomous driving trucks in China. The company's autonomous driving heavy-duty trucks utilize artificial intelligence technology, new energy technology and logistics big data technology, providing logistics companies with efficient and safe logistic solutions.</t>
  </si>
  <si>
    <t>CHINT(Zhejiang)</t>
  </si>
  <si>
    <t>Provider of renewable energy equipment and solution services intended to promote the use of rooftop photovoltaic systems in rural areas. The company's services include the development, sales, survey and design, installation and maintenance of rooftop solar panels, providing rural households with one-stop clean energy power source.</t>
  </si>
  <si>
    <t>Agility Robotics</t>
  </si>
  <si>
    <t>Manufacturer of humanoid robots and advanced automation intended to offer efficient, agile, and robust legged robots for real-world applications. The company's platform offers robots with human-like capabilities to work with and alongside people to perform simple tasks with minimal or no additional programming, without modifying offices, factories, or homes, enabling companies to automate highly repetitive tasks and deploy a combination of hardware, software, and services that are tailored towards solving industry-specific problems effectively and reliably.</t>
  </si>
  <si>
    <t>Salem, OR</t>
  </si>
  <si>
    <t>InMobi</t>
  </si>
  <si>
    <t>Developer of a mobile advertising platform designed to engage brands with consumers through the Internet. The company's platform facilitates personalized advertising experiences and includes video advertising based on deep learning-based optimization engines, enabling clients to discover new products and services through contextual and curated recommendations on mobile devices.</t>
  </si>
  <si>
    <t>Verkada</t>
  </si>
  <si>
    <t>Developer of a cloud-based platform designed to offer enterprise physical security technology. The company's platform offers product lines of video security cameras, access control, environmental sensors, alarms at the workplace, and intercoms, integrated with a single cloud system, enabling clients to take immediate action to minimize security risks, workplace frustrations, and costly inefficiencies.</t>
  </si>
  <si>
    <t>Noom</t>
  </si>
  <si>
    <t>Operator of a psychology-based digital health platform intended to provide intelligent nutrition and exercise coaching. The company's mobile application combines exercise coaching and artificial intelligence to deliver behavioral change programs, enabling users to prevent and manage chronic conditions such as obesity, pre-diabetes, diabetes, and hypertension.</t>
  </si>
  <si>
    <t>PayZen</t>
  </si>
  <si>
    <t>Developer of a healthcare payment platform designed to make medical bills affordable and accelerate cash flow at medical providers. The company's platform leverages artificial intelligence-powered risk tools to offer a plan each patient can afford, enabling clients to reduce the significant expense they spend to collect on collecting outstanding invoices.</t>
  </si>
  <si>
    <t>DNAnexus</t>
  </si>
  <si>
    <t>Developer of a biomedical informatics and data management platform designed to analyze DNA-sequencing data. The company's platform assists researchers across a spectrum of industries like biopharmaceutical, bioagricultural, sequencing services, clinical diagnostics, government and research consortia to accelerate their genomics programs globally, enabling commercial and academic medical researchers to visualize and analyze big data systems for DNA from a single, unified system.</t>
  </si>
  <si>
    <t>Highspot</t>
  </si>
  <si>
    <t>Developer of a sales engagement platform designed to improve content optimization. The company's platform offers flexible content management, semantic search, intelligent recommendations, and customer relationship management integration, enabling firms to engage more effectively with customers and drive increased revenue and customer satisfaction.</t>
  </si>
  <si>
    <t>Seattle, WA</t>
  </si>
  <si>
    <t>Tonal</t>
  </si>
  <si>
    <t>Developer of a digital fitness platform designed for motion analysis and a training system for weight-lifting experience using magnets and electricity. The company's platform eliminates the need for traditional weights by delivering pounds of resistance in a device with sensors and a touch screen display that keeps track of workouts in real-time, enabling users access to full-body fitness at home from legs to chest without the hassle of changing machines.</t>
  </si>
  <si>
    <t>GrubMarket</t>
  </si>
  <si>
    <t>Developer of AI-powered food technology and vertical SaaS platform designed for the digital transformation of the food supply chain. The company's platform offers inventory management, warehouse operations, grower accounting, human resources, eCommerce, payments, and custom mobile applications for food wholesalers, distributors, brokers, and farmers, enabling businesses to improve efficiency, gain valuable business insights, and enhance customer satisfaction.</t>
  </si>
  <si>
    <t>Innovaccer</t>
  </si>
  <si>
    <t>Developer of a healthcare data technology platform intended to deliver intelligent and connected experiences that advance health outcomes. The company's platform aggregates, analyses, and activates patient data from diverse sources such as electronic health records (EHRs), medical devices, and other systems, facilitates communication and collaboration among teams and offers tools for managing billing, claims processing, and reimbursement to optimize financial operations and reduce administrative burdens, enabling healthcare organizations to streamline clinical workflows, enhance care coordination, and improve patient outcomes.</t>
  </si>
  <si>
    <t>Lovable</t>
  </si>
  <si>
    <t>Developer of an artificial intelligence-driven application builder designed to let users create apps and websites through conversational prompts. The company's platform offers a chat-based creation interface, ready-made templates, and community-shared apps, enabling developers, designers, founders, and internal teams to build functional digital products faster with less technical effort.</t>
  </si>
  <si>
    <t>insitro</t>
  </si>
  <si>
    <t>Operator of a data-driven drug discovery and development company intended to transform how drugs are discovered and delivered to patients. The company uses machine learning and high-throughput biology to create massive data sets to be brought to bear on key bottlenecks in pharmaceutical R&amp;D, enabling drug development companies to have predictive models that are used to accelerate target selection, design, and develop effective therapeutics, and to inform clinical strategy.</t>
  </si>
  <si>
    <t>Solugen</t>
  </si>
  <si>
    <t>Manufacturer of specialty chemicals designed to replace petroleum-based products with plant-derived substitutes. The company's products are created using enzymatic technology to convert plant sugars into hydrogen peroxide and are followed by the manufacturing of a comprehensive line of environmentally friendly chemicals, enabling businesses and corporate clients to decrease costs, reduce carbon dioxide emissions, and minimize their carbon footprint.</t>
  </si>
  <si>
    <t>Houston, TX</t>
  </si>
  <si>
    <t>Anyfin</t>
  </si>
  <si>
    <t>Developer of a loan refinancing platform designed to improve the terms and rates of existing loans. The company's platform leverages publicly available consumer data, artificial intelligence tools, and mobile technology to assist people with good credit ratings, enabling clients to reduce their interest costs on consumer loans by refinancing their original credit without extending the repayment period.</t>
  </si>
  <si>
    <t>Univista (Business / Productivity Software)</t>
  </si>
  <si>
    <t>Developer of electronic design automation (EDA) software designed to provide software solution for semiconductor industry. The company is an industrial software service provider and focuses on the areas of enterprise digitization, networking and intelligence. providing advanced chip design, manufacturing, packaging, testing, packaging, circuit verification and performance analysis solution for industrial users.</t>
  </si>
  <si>
    <t>D-tch</t>
  </si>
  <si>
    <t>Manufacturer of digital twin-based simulation and optimisation designed for industrial process improvement and operational efficiency. The company integrates real-time data acquisition, advanced analytics, and AI-driven modelling to simulate complex industrial systems, enabling manufacturing and process industries to optimise performance, reduce downtime, and make data-informed decisions across planning, operations, and maintenance workflows.</t>
  </si>
  <si>
    <t>Nidda Harb, Germany</t>
  </si>
  <si>
    <t>Collibra</t>
  </si>
  <si>
    <t>Developer of a cross-organizational data governance platform designed to automate digital business operations. The company's platform breaks down traditional data silos and opens up organizational data to provide business intelligence, facilitates data access policy definition and enforcement, supports regulatory compliance, risk mitigation, and data product delivery, enabling businesses to find the data they need and collaboration on it.</t>
  </si>
  <si>
    <t>Brussels, Belgium</t>
  </si>
  <si>
    <t>Acorns Grow</t>
  </si>
  <si>
    <t>Developer of automated financial tools designed for personal saving and investing purposes. The company's platform integrates micro-investing, retirement planning, banking, and educational content into a single mobile-first experience that rounds up everyday purchases, allocates funds into diversified portfolios, and offers goal-based recommendations, enabling individuals with limited financial expertise or resources to build long-term wealth, develop consistent saving habits, and access simplified investment strategies without requiring large initial capital or active portfolio management.</t>
  </si>
  <si>
    <t>Irvine, CA</t>
  </si>
  <si>
    <t>AI21 Labs</t>
  </si>
  <si>
    <t>Developer of artificial intelligence and large language models, and tools designed to understand and generate natural language. The company's tool captures real intelligence and rephrases writing to say what is meant by offering summaries and transforms the way people read and write through deep learning frameworks and computer vision algorithms, enabling businesses to understand, analyze, and visualize abstract knowledge structures and read efficiently.</t>
  </si>
  <si>
    <t>Tel Aviv, Israel</t>
  </si>
  <si>
    <t>Sierra</t>
  </si>
  <si>
    <t>Developer of a conversational artificial intelligence platform intended to empower enterprises with AI agents. The company's platform uses advanced technology to handle customer conversations every month thus saving customer experience teams time and effort, enabling companies to elevate their customer experience with Artificial Intelligence.</t>
  </si>
  <si>
    <t>Sigma Computing</t>
  </si>
  <si>
    <t>Developer of a cloud data warehouse analytics software designed to analyze complex databases. The company's software permits employees outside the data team to question their data and derive valuable insights based on the spreadsheet-like interface coding required and structured query language (SQL)-optional technology, enabling clients to explore, analyze, and visualize data without the help of a data specialist.</t>
  </si>
  <si>
    <t>TEKEVER</t>
  </si>
  <si>
    <t>Developer of AI-centric unmanned aerial systems designed to deliver real-time, actionable intelligence across ultra-wide areas for mission-critical operations. The company offers battle-proven aerial platforms, beyond radio line-of-sight operations with satellite communications, maritime radar payload integration, and AI-powered onboard and ground data processing, enabling defense forces and government agencies to conduct surveillance and decision-making with timely, precise situational awareness.</t>
  </si>
  <si>
    <t>Lisbon, Portugal</t>
  </si>
  <si>
    <t>Poolside</t>
  </si>
  <si>
    <t>Developer of an artificial intelligence-based platform designed to write software code. The company's platform offers foundation concepts and infrastructure that use a vast language model to generate code from natural language queries, enabling developers to instruct the tool in natural language to code applications.</t>
  </si>
  <si>
    <t>GoCardless</t>
  </si>
  <si>
    <t>Developer of an account-to-account payments platform designed to collect recurring payments from customers. The company's platform collects and manages recurring and one-off payments, renews, amends, and pauses payment plans easily, and offers full visibility on each transaction, enabling clients to collect direct debit payments from payers worldwide.</t>
  </si>
  <si>
    <t>ADVANCE.AI</t>
  </si>
  <si>
    <t>Developer of a big-data platform designed to provide anti-fraud detection services. The company's platform provides assistance for loan applications, including multi-platform detection, face recognition, identity checks, company checks, credit score data, and other analytic services, enabling enterprises to reduce manual verification costs and increase business efficiency.</t>
  </si>
  <si>
    <t>MatX</t>
  </si>
  <si>
    <t>Manufacturer of computer chips intended to build a computing platform for artificial general intelligence. The company specializes in building hardware by combining deep domain experience for large language models, graphics processing units, and other machine-learning models, enabling developers and programmers to make models an order of magnitude more useful.</t>
  </si>
  <si>
    <t>Formation Bio</t>
  </si>
  <si>
    <t>Developer of a biotech investment and development platform intended to accelerate drug development. The company's platform utilizes AI-driven technologies, customized workflow enhancements, strategic acquisition of clinical-stage assets, adaptable licensing structures, and integrated expert teams, enabling pharma partners and research institutions to advance treatments more efficiently while reducing cost, time, and development risk.</t>
  </si>
  <si>
    <t>Lookout</t>
  </si>
  <si>
    <t>Developer of cloud-based security software designed to secure and address various stages of modern cyberattacks. The company's platform offers features such as real-time threat visibility, user behavior monitoring, and data leak prevention, enabling organizations to protect their sensitive data throughout its lifecycle within the cloud.</t>
  </si>
  <si>
    <t>Canva</t>
  </si>
  <si>
    <t>Operator of an online graphic design platform intended to democratize design and visual communication. The company's platform offers drag-and-drop features and professional layouts to consistently design graphics through a vast collection of professionally designed layouts to personalize the design with a stock library of photographs, illustrations, and imagery, enabling companies and users to customize presentations and social media graphics with appropriate layouts.</t>
  </si>
  <si>
    <t>Surry Hills, Australia</t>
  </si>
  <si>
    <t>CloudMinds Robotics</t>
  </si>
  <si>
    <t>Developer of an end-to-end cloud robotics ecosystem designed to offer it as a cloud robotics service. The company's ecosystem offers Human Augmented Robotics Intelligence with Extreme Reality (HARIX), a secure Virtual Backbone Network (VBN) or 'nerve network' and secure smartphone-based robot control units (RCUs), connected and controlled wirelessly through cloud computing, blockchain and other innovative technologies, thereby enabling clients to automate the repetitive works.</t>
  </si>
  <si>
    <t>Nexthop AI</t>
  </si>
  <si>
    <t>Developer of artificial intelligence infrastructure designed for large-scale cloud operators. The company builds networking and infrastructure that improves power efficiency, reduces operational costs, and accelerates the deployment of AI workloads, enabling hyperscale data centers and cloud providers to scale AI systems while lowering the cost per token and improving reliability.</t>
  </si>
  <si>
    <t>Altruist</t>
  </si>
  <si>
    <t>Developer of a digital investment platform designed to help financial advisors serve their clients. The company's platform assists in automating research, identifying problem areas, and streamlining operations, enabling advisors to help clients make proper and informed choices with their money.</t>
  </si>
  <si>
    <t>Culver City, CA</t>
  </si>
  <si>
    <t>Icertis</t>
  </si>
  <si>
    <t>Developer of a contract intelligence platform designed to structure and connect every kind of contract. The company's platform uses artificial intelligence to read, analyze documents, and third-party papers to provide authorized users with detailed risk reports and automatic obligations, as well as systematize all types of contracts and associated documentation, enabling clients to increase compliance, improve governance, mitigate risk, and enhance user productivity.</t>
  </si>
  <si>
    <t>Bellevue, WA</t>
  </si>
  <si>
    <t>Scientia Technologies</t>
  </si>
  <si>
    <t>Provider of technology solutions and services to governments, enterprises, and individuals by utilizing artificial intelligence, big data analysis, cloud services and distributed ledger technology. The company is committed to providing technology solutions to their clients, enabling enterprises to improve work efficiency, reduce costs and increase income.</t>
  </si>
  <si>
    <t>Ultima Genomics</t>
  </si>
  <si>
    <t>Developer of genome-scale sequencing technology designed to offer analytical services to enterprises. The company uses an open substrate to create a massive, low-cost reaction surface that delivers many billions of reads while avoiding costly flow cells and complicated fluidics, and uses specialized sequencing hardware along with machine learning to deliver reproducible and accurate results, enabling clients to get genomics reports at scale with speed and efficiency and drive down the costs of sequencing.</t>
  </si>
  <si>
    <t>Agora Data</t>
  </si>
  <si>
    <t>Developer of an analytics platform intended to help auto dealers and finance companies to build wealth, increase sales, and compete for additional market share. The company's family of auto finance products and suite of tools provides a wide range of critical funding paths so originators can obtain the cash they need to fuel growth, enabling clients to have access to data analytics and planning resources to help optimize the performance of their portfolio.</t>
  </si>
  <si>
    <t>Arlington, TX</t>
  </si>
  <si>
    <t>Valo</t>
  </si>
  <si>
    <t>Developer of a health tech platform designed to facilitate the drug discovery and development process. The company's platform integrates machine learning, cloud computing, and data to analyze human data to uncover previously unsuspected associations between genetic markers and disease with a human-centric framing, enabling clients from the healthcare industry to develop oncology, neurodegenerative, and cardiovascular disease drugs.</t>
  </si>
  <si>
    <t>Lexington, MA</t>
  </si>
  <si>
    <t>GreyOrange</t>
  </si>
  <si>
    <t>Developer of a robotics and artificial intelligence-driven platform designed to empower third-party logistics providers to achieve automated, agile, and efficient order fulfillment. The company's platform offers a master framework that integrates with software to deliver agility, accuracy, and optimal workflows for efficient fulfillment outcomes, enabling companies to increase productivity, reduce costs, and enhance customer satisfaction.</t>
  </si>
  <si>
    <t>Suwanee, GA</t>
  </si>
  <si>
    <t>Drivenets</t>
  </si>
  <si>
    <t>AI Transformation Platforms</t>
  </si>
  <si>
    <t>Developer of a cloud-based networking software designed to facilitate large-scale network modernization and AI infrastructure. The company's platform offers a software-based, cloud-native routing system built on a shared infrastructure of standard networking white boxes and specializes in AI networking to support workloads, enabling telecommunication companies and data centers to achieve enhanced agility, reduced operational expenses, and optimized performance for demanding applications.</t>
  </si>
  <si>
    <t>Ra'anana, Israel</t>
  </si>
  <si>
    <t>Baseten</t>
  </si>
  <si>
    <t>Developer of machine learning infrastructure designed to enable performant, scalable, and cost-effective model deployment. The company provides reusable components for assembling workflows, horizontally scalable services for rapid prototyping and production deployment, and auto-scaling inference infrastructure, enabling engineers and data teams to efficiently build, deploy, and manage machine learning applications with flexibility and minimal operational overhead.</t>
  </si>
  <si>
    <t>Transmit Security</t>
  </si>
  <si>
    <t>Developer of an identity and fraud prevention platform designed to unify identity management, authentication, and verification for secure digital interactions. The company's platform offers passwordless authentication, adaptive security, and AI-driven fraud detection, enabling enterprises to protect users, enhance customer experiences, and reduce operational complexity.</t>
  </si>
  <si>
    <t>Gong</t>
  </si>
  <si>
    <t>Developer of a revenue intelligence platform designed to change the way of operating based on customer reality. The company's platform offers customer interactions across calls, meetings, and e-mails and provides insights to identify deal risks and maximize customer retention, enabling clients to adapt their revenue strategy using real-time insights from sales conversations.</t>
  </si>
  <si>
    <t>Rokid</t>
  </si>
  <si>
    <t>Developer of artificial intelligence (AI), augmented reality (AR) tech gadgets, and robotics software, aiming to deliver superior industrial design and a superlative user experience across a multitude of industries. The company offers technologies that include speech recognition, natural language processing, and image recognition, which allow for their AR glasses and smart speakers to adapt to consumers' specific needs with their multi-dimensional voice and visual interaction abilities, enabling consumers and enterprises to enhance human-computer interaction, visual positioning capabilities, and services, and support AI application algorithms and gesture recognition.</t>
  </si>
  <si>
    <t>Cera Care</t>
  </si>
  <si>
    <t>Provider of digital healthcare services designed for home-based medical support purposes. The company's platform applies artificial intelligence to predict health risks, reduces hospital admissions, supports carers and nurses with real-time tools, integrates recruitment and training systems, manages complex care needs, incorporates carbon-efficient operations, and delivers nationwide coverage, enabling healthcare markets to improve patient outcomes, lower systemic costs, expand workforce capacity, and reduce environmental impact while shifting treatment from hospitals into residential settings.</t>
  </si>
  <si>
    <t>Zūm</t>
  </si>
  <si>
    <t>Provider of on-demand ride and care services intended to offer reliable transportation and care for children. The company's services provide safe and reliable child transportation for schools and parents through flexible ride options that include vetted drivers via its mobile application to spend less time on the road and more capacity to transfer energy, enabling schools to avail the drop facilities of their students and parents to save time spent on driving children to school and other activities.</t>
  </si>
  <si>
    <t>Redwood City, CA</t>
  </si>
  <si>
    <t>Dreame Technology</t>
  </si>
  <si>
    <t>Manufacturer of smart home appliances aims to enhance the quality of life through intelligent technology. The company's offerings feature advanced cleaning devices such as cordless vacuum cleaners, sweeping and mopping robots, hair dryers, and personal care products, integrating proprietary high-speed digital motor technology, multi-scenario intelligent control, and AI-driven solutions, helping customers benefit from efficient, convenient, and high-quality living experiences, enabling the evolution of modern smart homes.</t>
  </si>
  <si>
    <t>Suzhou, China</t>
  </si>
  <si>
    <t>Isomorphic Labs</t>
  </si>
  <si>
    <t>Operator of a digital biology company intended to redefine drug discovery with the power of artificial intelligence. The company reimagines the entire drug discovery process from first principles with an AI-first approach and ultimately to model and understand some fundamental mechanisms of life, enabling clients in the improvement of patients' health.</t>
  </si>
  <si>
    <t>Talkdesk</t>
  </si>
  <si>
    <t>Developer of a cloud-based contact center software designed for customer service operations. The company offers omnichannel communication, artificial intelligence-powered automation, real-time analytics, and integration with business applications, enabling enterprises to manage customer interactions efficiently, improve agent productivity, and deliver consistent customer experiences across multiple channels.</t>
  </si>
  <si>
    <t>Stepfun</t>
  </si>
  <si>
    <t>Developer and provider of AI large model solutions designed for advancing artificial general intelligence (AGI) through unified multimodal understanding and generation. The company provides cutting-edge self-developed models, enabling AI research and development users with advanced solutions for language, image, video, and speech processing.</t>
  </si>
  <si>
    <t>VulcanForms</t>
  </si>
  <si>
    <t>Developer of a digital production system designed for scalable industrial metal additive manufacturing. The company's platform provides proprietary simulation tools, in-process sensing, and machine learning algorithms that program and monitor the complete production process, enabling industries to innovate, grow, and deliver sustainable impact.</t>
  </si>
  <si>
    <t>Newburyport, MA</t>
  </si>
  <si>
    <t>Zunyuan Supermarket</t>
  </si>
  <si>
    <t>Operator of a chained supermarket brand designed for Chinese liquor. The company utilizes artificial intelligence (AI) technologies for retail services and expands to common grocery categories, enabling clients with efficient and convenient shopping experience.</t>
  </si>
  <si>
    <t>Haikou, China</t>
  </si>
  <si>
    <t>Mercury Technologies</t>
  </si>
  <si>
    <t>Developer of digital banking tools designed to support financial operations for startups and technology companies. The company's platform offers FDIC-insured accounts, payment processing, card issuance, and financial management features, enabling early-stage businesses to manage funds efficiently and access essential banking services tailored to their operational needs.</t>
  </si>
  <si>
    <t>LTK</t>
  </si>
  <si>
    <t>Developer of a content monetization platform designed to maximize market potential. The company's platform measures and monetizes the influence of content on a global scale, across owned and social channels, enabling style influencers and brands to maximize the economic success of their content across the web, mobile, and social platforms.</t>
  </si>
  <si>
    <t>Dallas, TX</t>
  </si>
  <si>
    <t>Parloa</t>
  </si>
  <si>
    <t>Developer of a conversational artificial intelligence platform designed for building automated dialogs with the help of machine learning. The company's platform facilitates a dialog layer that helps enterprises unify their strategy in a single hub and helps brands manage their experiences across all of their customer channels, enabling clients to have proper conversations with their customers.</t>
  </si>
  <si>
    <t>Berlin, Germany</t>
  </si>
  <si>
    <t>Forterra</t>
  </si>
  <si>
    <t>Developer of a robotic vehicle autonomy technology designed to advance the safety, security, and effectiveness of transportation and mission-critical operations. The company's technology leverages artificial intelligence and self-driving software to provide path planning, adversarial autonomy, on- and off-road driving, simulation, cooperative behaviors, convoys, manned and unmanned teaming, small and large vehicle navigation, and dismount localization, enabling defense, commercial, and municipal industries to automate convoy operations.</t>
  </si>
  <si>
    <t>Clarksburg, MD</t>
  </si>
  <si>
    <t>Kardigan</t>
  </si>
  <si>
    <t>Operator of a heart health company intended to modernize cardiovascular drug development. The company specializes in matching critical disease drivers with treatment responders identified in clinical trials, enabling patients to have access to medicines that will cure their diseases.</t>
  </si>
  <si>
    <t>Nium</t>
  </si>
  <si>
    <t>Developer of a real-time cross-border payments system designed to build a global network for transactions. The company offers a global payout infrastructure supporting account, wallet, and card disbursements across multiple currencies and countries, enabling financial institutions and businesses to send and receive funds safely.</t>
  </si>
  <si>
    <t>Lila Sciences</t>
  </si>
  <si>
    <t>Developer of a scientific superintelligence platform designed to accelerate discovery in life, chemical, and materials sciences. The company's platform offers an autonomous lab platform integrating AI-driven experiment design, execution, observation, and iteration, enabling researchers to generate new scientific knowledge to pioneer the application of artificial intelligence to transform every aspect of the scientific method.</t>
  </si>
  <si>
    <t>Cambridge, MA</t>
  </si>
  <si>
    <t>VNLIFE</t>
  </si>
  <si>
    <t>Provider of financial services intended to simplify everyday transactions. The company offers multiple services such as SMS banking, digital banking platform, and distribution services with the use of advanced technology such as artificial intelligence, big data, and more, enabling consumers and merchants to adopt cashless payments and enjoy a more convenient and efficient way to handle daily finances.</t>
  </si>
  <si>
    <t>Hanoi, Vietnam</t>
  </si>
  <si>
    <t>Monogram Health</t>
  </si>
  <si>
    <t>Provider of kidney care services intended to take proper measures for check-ups through predictive analysis. The company uses next-generation artificial intelligence algorithms to predict necessary and timely care to promote the delay of kidney disease progression, enabling patients to connect with nephrologists and get good care, transitions to dialysis and pre-emptive kidney transplants.</t>
  </si>
  <si>
    <t>Brentwood, TN</t>
  </si>
  <si>
    <t>MainFunc</t>
  </si>
  <si>
    <t>Developer of a search engine platform designed to provide an index and summarized information. The company's platform combines multiple specialized AI models and tools to handle complex real-world tasks seamlessly, from research and content creation to presentations and automation, to generate new, customized pages for every query, enabling users to get simplified results and get the maximum output support.</t>
  </si>
  <si>
    <t>Supabase</t>
  </si>
  <si>
    <t>Developer of an open-source backend platform designed to help developers build and manage applications. The company's platform includes a relational database, authentication tools, real-time data updates, file storage and server-side functions, enabling developers to create applications with built-in scalability, security and compatibility with various frameworks and technologies.</t>
  </si>
  <si>
    <t>Zongmu</t>
  </si>
  <si>
    <t>Developer of driving and advanced driving assistant system technologies and products intended for automated vehicle control. The company offers integrated hardware and software platforms incorporating perception algorithms, sensor fusion, and real-time control units for functions such as parking assistance and lane monitoring, enabling automotive manufacturers to support progressive levels of vehicle automation across diverse driving environments.</t>
  </si>
  <si>
    <t>GMI</t>
  </si>
  <si>
    <t>Developer of a cloud-based platform designed for AI and machine learning model deployment. The company's platform provides access to GPU resources for startups to experiment, prototype, and evaluate AI applications and offer products such as GPU instances, cluster engines, and application platforms, enabling businesses to improve productivity.</t>
  </si>
  <si>
    <t>Windrose Technology</t>
  </si>
  <si>
    <t>Developer of a redesigned heavy-duty truck platform designed to meet the need for autonomous driving. The company platform engaged in the development of a heavy truck, a fully redundant drive-by-wire chassis, enabling the meeting the needs of L4 autonomous driving, as well as proprietary e-axle, battery, and motor design, providing industry users with new energy vehicle solutions.</t>
  </si>
  <si>
    <t>Epirus</t>
  </si>
  <si>
    <t>Developer of software-defined high-power microwave technology designed to counter unmanned aircraft systems for national security. The company creates solid-state, software-defined directed energy systems that address threats such as drones and other asymmetric technologies to optimize power efficiency in defense and commercial applications, enabling defense organizations to stun drones with a hard reset or knock swarms out of the sky.</t>
  </si>
  <si>
    <t>Redondo Beach, CA</t>
  </si>
  <si>
    <t>Synthesia</t>
  </si>
  <si>
    <t>Developer of a video synthesis technology designed to turn text into video with avatars and voiceovers. The company's technology uses artificial intelligence algorithms to translate into any language and replace text and images with personalized and localized videos, enabling content creators to scale production and generate diverse content.</t>
  </si>
  <si>
    <t>Semidrive Technology</t>
  </si>
  <si>
    <t>Manufacturer of high-tech semiconductor products intended for the automotive industry. The company's products mainly focus on autonomous driving, smart car core processor chips, and high-performance industrial processor chips, thereby enabling customers to solve problems in the field of intelligent driving.</t>
  </si>
  <si>
    <t>Outreach</t>
  </si>
  <si>
    <t>Developer of a semiautomated sales engagement platform designed to automate repetitive sales tasks on behalf of coworkers while prioritizing key customer touchpoints. The company's platform uses machine learning to automate and personalize communication, track sales statistics, collaborate with teams, send automated alerts, and assist sales teams to touch all leads, opportunities, and customers with targeted content, enabling companies to increase the volume of sales meetings and create an efficient workflow for salespeople.</t>
  </si>
  <si>
    <t>Together AI</t>
  </si>
  <si>
    <t>Developer of a cloud-based services platform designed to provide a decentralized interface for artificial intelligence. The company's platform is involved in building open models that are easy to use and are open source, enabling researchers, developers, and companies to leverage and improve artificial intelligence (AI) with intuitive data, models, API, and computation platforms.</t>
  </si>
  <si>
    <t>DeepL</t>
  </si>
  <si>
    <t>Developer of an AI-driven platform designed to address complex business needs through secure and intelligent technology.The company offers languagefocused AI for translation, writing enhancement, and real-time voice interaction, along with an autonomous assistant for workplace tasks, enabling businesses and individual users to communicate effectively and complete work with greater ease.</t>
  </si>
  <si>
    <t>Cologne, Germany</t>
  </si>
  <si>
    <t>Abnormal AI</t>
  </si>
  <si>
    <t>Developer of a cloud email security platform designed to prevent cybercrimes. The company's platform uses an artificial intelligence-based approach that deeply analyzes people, relationships, and business processes to understand abnormal behavior and block socially engineered and sophisticated cyber-attacks that lead to account takeover, financial damage, and organizational mistrust, enabling businesses to prevent direct attacks on their confidential data.</t>
  </si>
  <si>
    <t>Las Vegas, NV</t>
  </si>
  <si>
    <t>Laser Light Communications</t>
  </si>
  <si>
    <t>Developer of global optical data networks designed to deliver elastic, automated, and secure connectivity across terrestrial fiber and satellite infrastructure. The company offers a multi-domain platform that unifies subsea fiber, optical laser satellites, software-defined automation, real-time AI orchestration, and a vertically integrated supply chain, enabling hyperscalers, OTT providers, large corporates, and government entities in the Global North to access scalable speed communications with improved efficiency, resilience, and cost alignment.</t>
  </si>
  <si>
    <t>Reston, VA</t>
  </si>
  <si>
    <t>Verbit</t>
  </si>
  <si>
    <t>Developer of an interactive transcription and captioning software designed to generate detailed speech-to-text files. The company's software utilizes automated speech recognition technology to transform both live and recorded video and audio into captions and transcripts for the education, legal, media and enterprise industries, enabling organizations to maximize the potential of the audio and video files by making information searchable, accessible and actionable.</t>
  </si>
  <si>
    <t>Enveda</t>
  </si>
  <si>
    <t>Developer of a drug analysis platform designed to capitalize on the chemical diversity and evolutionary significance of natural samples. The company's platform offers a combination of machine learning, metabolomics, and robotics to analyze natural samples for both chemical structure and biological activity, enabling clients in the healthcare industry to identify and characterize a wide range of molecules produced by living organisms without isolating individual compounds or conducting extensive experimentation.</t>
  </si>
  <si>
    <t>Boulder, CO</t>
  </si>
  <si>
    <t>PlusAI</t>
  </si>
  <si>
    <t>Developer of an artificial intelligence-based autonomous driving software intended to offer autonomous trucks to move goods safely and efficiently worldwide. The company's software uses autonomous driving technology and leverages large AI models and generative AI to facilitate safe and affordable autonomous driving vehicles at scale, enabling users to improve the lives of truck drivers and access scalable deployment through trusted manufacturing and service channels.</t>
  </si>
  <si>
    <t>Lighthouse (Media and Information Services)</t>
  </si>
  <si>
    <t>Developer of a hotel management platform designed to visualize and leverage data for business success. The company's platform provides cloud-based data intelligence tools that offer real-time and actionable data which empowers smarter revenue and distribution decisions and facilitates customer support services, enabling hoteliers and hotel management companies to maximize property occupancy rates and increase their revenue and profit.</t>
  </si>
  <si>
    <t>Lunar</t>
  </si>
  <si>
    <t>Developer of a digital banking application designed to facilitate online money transfers and payments. The company's application offers banking services such as balance checking, account opening, and applications for loans along with debit cards by partnering and cooperating with local banks, enabling customers to ease banking functions with enhanced security.</t>
  </si>
  <si>
    <t>Aarhus, Denmark</t>
  </si>
  <si>
    <t>Quantexa</t>
  </si>
  <si>
    <t>Developer of decision intelligence platform designed to improve operational and data-driven decisions. The company's platform connects internal and external data sets to provide a single view, enriched with intelligence about the relationships between people, places, and organizations as well as generates the context needed to automate millions of operational decisions, at scale, across multiple business units, enabling organizations to solve major challenges in financial crime, customer insight and data analytics.</t>
  </si>
  <si>
    <t>Kneron</t>
  </si>
  <si>
    <t>Developer of an application-specific integrated circuit designed to offer artificial intelligence-based tools to utilize computing power. The company's circuit offers real-time recognition, inference, and analysis services with no cloud connection, enabling companies to quickly implement different artificial intelligence applications.</t>
  </si>
  <si>
    <t>Clari</t>
  </si>
  <si>
    <t>Developer of a revenue operations platform designed to improve efficiency, predictability, and growth across the entire revenue process. The company's platform leverages automation, AI, and real-time big data analytics for meeting preparation and follow-up, updating the contact database, and forecasting sales revenues, enabling teams to have total visibility into their business to make their revenue process more connected, efficient, and predictable.</t>
  </si>
  <si>
    <t>Aleph Alpha</t>
  </si>
  <si>
    <t>Developer of a sovereign artificial intelligence platform designed to support complex and critical knowledge work with transparency and control. The company's platform offers a secure AI suite with proprietary language models, transparent reasoning capabilities, domain-specific customization, on-premise and cloud deployment flexibility, and strong data governance controls, enabling governments and large organizations to use artificial intelligence for sensitive workflows in regulated and security-critical environments while maintaining oversight, legal conformity, and control over their data and systems.</t>
  </si>
  <si>
    <t>Heidelberg, Germany</t>
  </si>
  <si>
    <t>Cellarity</t>
  </si>
  <si>
    <t>Developer of a biomedical platform designed to digitize the molecular information in cells to elucidate how they behave in health and disease. The company's platform harnesses single-cell technologies and machine learning to digitize and quantify cellular behaviors, unravel the network dynamics that govern those behaviors, and generate medicines that can direct them, enabling companies to increase drug discovery's success rate and speed.</t>
  </si>
  <si>
    <t>Somerville, MA</t>
  </si>
  <si>
    <t>Mercor</t>
  </si>
  <si>
    <t>Developer of an artificial intelligence-powered hiring platform designed to streamline the hiring process for both candidates and companies. The company's platform matches candidates with elite remote job opportunities, allowing them to apply for work once and reach thousands of companies, enabling businesses to streamline the hiring process for both candidates and companies.</t>
  </si>
  <si>
    <t>6Sense Insights</t>
  </si>
  <si>
    <t>Developer of a predictive intelligence platform designed to achieve revenue growth. The company's platform uses artificial intelligence, big data, and machine learning to offer omnichannel connectivity and visibility from brand to demand to revenue and offers customer insights such as anonymous website activity, buyer intent data, and predictive analytics, enabling revenue teams to achieve improved sales conversions.</t>
  </si>
  <si>
    <t>Truveta</t>
  </si>
  <si>
    <t>Developer of a health data platform designed to aggregate data across multiple healthcare systems to provide medical information. The company's platform identifies and aggregates healthcare data, with a focus first on coronavirus, enabling researchers to find cures that allow every clinician to be an expert, and help families make the most informed decisions about their care.</t>
  </si>
  <si>
    <t>Orchard (Real Estate Services)</t>
  </si>
  <si>
    <t>Operator of residential real estate transaction platform intended for home buying and selling coordination. The company's platform provides access to licensed agents, equity advance loans, listing support, pricing analysis, concierge upgrades, and integrated mortgage and title services, enabling homeowners to purchase a new home before selling their current one while avoiding contingent offers, double moves, and traditional sale-related inconveniences.</t>
  </si>
  <si>
    <t>FieldAI</t>
  </si>
  <si>
    <t>Developer of a field-proven artificial intelligence (AI) technology designed to unlock the full potential of robots in real-world environments. The company's technology features advanced risk-aware models, multi-embodiment integration across legged, wheeled, flying and tracked vehicles and compatibility with various sensors, enabling businesses to operate robots autonomously in dynamic, unstructured environments without GPS or pre-defined maps.</t>
  </si>
  <si>
    <t>Mission Viejo, CA</t>
  </si>
  <si>
    <t>Gilion</t>
  </si>
  <si>
    <t>Operator of a precision financing company intended to empower technology businesses to grow fast based on predictions of the company's future revenue. The company uses artificial intelligence and machine learning to help enterprises grow smart through long-term loans while maintaining control for founders and reducing risk for investors, enabling entrepreneurs to precisely analyze the company's business health and design custom, dynamic loans with fair terms.</t>
  </si>
  <si>
    <t>Vanta (California)</t>
  </si>
  <si>
    <t>Developer of a compliance management platform designed to automate risk management, security audits, and vendor assessments. The company's platform offers features such as continuous monitoring, AI-powered workflows, pre-mapped controls, real-time risk detection, automated evidence collection, and customizable dashboards, enabling businesses to efficiently maintain security posture, streamline compliance processes, and build customer trust.</t>
  </si>
  <si>
    <t>Bright Machines</t>
  </si>
  <si>
    <t>Developer of automation software designed to assist businesses to meet the growing demands of manufacturing. The company's software leverages artificial intelligence, machine learning, and production data to develop robots that are sensor-rich, have computer vision, and are adaptable, enabling clients to have improved yields at lower costs.</t>
  </si>
  <si>
    <t>AutoAI</t>
  </si>
  <si>
    <t>Developer and operator of smart cockpit solutions designed for automobile industry. The company's software is used in dashboard computers with navigation, entertainment, voice control and driver assistance functions, enabling automobile manufacturers to incorporate artificial intelligence-powered software in their products.</t>
  </si>
  <si>
    <t>DeepRoute.Ai</t>
  </si>
  <si>
    <t>Developer of L4 self-driving system intended to bring a revolution of mobility through technologies. The company develops full-stack autonomous vehicles equipped with advanced in-car sensors, controllers, actuators and other devices and integrated with modern communication and network technologies, providing users with vehicles that are enabled with sensing complex surroundings, intelligent decision making and collaborative control.</t>
  </si>
  <si>
    <t>Eon</t>
  </si>
  <si>
    <t>Developer of a cloud backup posture management platform designed to understand, classify, and index cloud resources and applications. The company's platform manages and secures backups by identifying and mitigating risks associated with data storage practices, enabling businesses to improve the security and reliability of their data.</t>
  </si>
  <si>
    <t>Pebl (Business/Productivity Software)</t>
  </si>
  <si>
    <t>Operator of a global employment platform intended to enable companies to hire, pay, and manage workers worldwide without establishing local entities. The platform offers employer of record services, global payroll, benefits administration, immigration support, talent sourcing, AI-powered compliance guidance, and self-serve hiring tools, enabling businesses to onboard and support international employees with speed, accuracy, and regulatory coverage.</t>
  </si>
  <si>
    <t>Tempo</t>
  </si>
  <si>
    <t>Developer of a payments-focused blockchain designed to be purpose-built for stablecoins and real-world payments. The company's platform has features like opt-in privacy, payments in any stablecoin via enshrined AMM and a payments-first UX, enabling users to conduct high-throughput, low-cost global transactions for any business use case.</t>
  </si>
  <si>
    <t>Moloco</t>
  </si>
  <si>
    <t>Developer of a machine-learning platform designed to empower businesses of all sizes to grow through operational machine learning. The company's cloud-based demand-side platform allows performance marketers to quickly scale user acquisition and achieve better lifetime value through market-validated prediction models, and its retail media platform allows commerce platforms to establish their own performance advertisement business, enabling application publishers, companies in the e-commerce marketplace, and streaming service sectors to serve a broader set of customers than in traditional linear television businesses.</t>
  </si>
  <si>
    <t>Asapp</t>
  </si>
  <si>
    <t>Developer of a generative AI software designed to elevate human performance in customer service by automating and personalizing interactions. The company's software offers AI agents capable of understanding, reasoning, and acting across multiple channels, with real-time integration into enterprise systems, proprietary safety controls, automated testing, and data governance, enabling large enterprises to resolve customer issues more efficiently, increase satisfaction, and reduce operational costs while maintaining trust and security.</t>
  </si>
  <si>
    <t>SellersFi</t>
  </si>
  <si>
    <t>Developer of a financial platform designed to provide funding and financial services to e-commerce entrepreneurs. The company's platform provides working capital for online businesses as well as uses machine-learning models to analyze data generated through business activities of eCommerce firms to provide actionable insights, enabling commerce businesses to gain easy access to working capital, improve cash flow, and streamline their business operations.</t>
  </si>
  <si>
    <t>Weston, FL</t>
  </si>
  <si>
    <t>Learneo (NA)</t>
  </si>
  <si>
    <t>Developer of an online learning platform designed to provide students with access to course-specific study resources. The company's platform offers study resources contributed by a community of students and educators and produced by a team of educational content specialists in collaboration with subject experts, enabling learners to quickly find what they need to learn topics deeply.</t>
  </si>
  <si>
    <t>Sword Health</t>
  </si>
  <si>
    <t>Developer of an artificial intelligence-care platform designed to deliver customized care to patients globally. The company's platform provides patients with interactive physical rehabilitation exercises from the comfort of their own homes, supervised by remote physiotherapists who help patients with physical therapy at reduced costs, enabling patients to get access to a source of data and to use this therapy independently.</t>
  </si>
  <si>
    <t>PathAI</t>
  </si>
  <si>
    <t>Developer of an artificial intelligence-powered research platform intended to improve the accuracy and efficiency of cancer diagnosis and treatment. The company's platform applies machine and deep learning techniques to aggregated sets in order to detect cancerous cells separately, enabling pathologists to diagnose cancer patients rapidly and accurately.</t>
  </si>
  <si>
    <t>Rain</t>
  </si>
  <si>
    <t>Developer of a financial-wellness platform designed for earned wage access. The company's platform imports earned wage data via integrations with human capital management and time and attendance systems, facilitates free transfers, deducts accessed wages via payroll, provides employer-controlled transaction guardrails, minimalist data collection, and pay stub transparency, enabling employers to reduce financial stress for hourly workers while improving retention, attendance, engagement, and overall workforce stability.</t>
  </si>
  <si>
    <t>Nashville, TN</t>
  </si>
  <si>
    <t>Devo</t>
  </si>
  <si>
    <t>Developer of data analytics software designed to provide a complete and unified view of business operations. The company's platform helps to consult, correlate, and analyze years of data retention and petabytes of information in real-time to integrate, manage, and visualize data, enabling businesses to make informed decisions.</t>
  </si>
  <si>
    <t>Onebrief</t>
  </si>
  <si>
    <t>Developer of a visual strategy platform designed to provide mind mapping for the military. The company's platform offers features such as structured and visual plans that are reusable, integrated, structured by cause and effect, auto-layouts, and quantitative comparison options, enabling clients to execute rapid decision-making and make relevant plans.</t>
  </si>
  <si>
    <t>Honolulu, HI</t>
  </si>
  <si>
    <t>Ontic</t>
  </si>
  <si>
    <t>Developer of a security intelligence platform designed to help organizations proactively manage threats and mitigate risks. The company offers a unified system that consolidates security operations, data, and threat insights into a single platform, enabling corporate security teams and government agencies to detect, assess, and respond to risks more effectively while strengthening overall organizational resilience.</t>
  </si>
  <si>
    <t>HighRadius</t>
  </si>
  <si>
    <t>Developer of financial software designed to automate accounts receivable and treasury processes. The company's autonomous finance platform reduces cycle times in the order-to-cash process through the automation of receivables and payments processes across credit, electronic billing and payment processing, cash application, deductions, and collections, enabling teams to achieve touchless cash management, accurate cash forecasting, and seamless bank reconciliation.</t>
  </si>
  <si>
    <t>Our Next Energy</t>
  </si>
  <si>
    <t>Developer of a battery technology intended to improve energy density and safety while lowering costs for mobility and grid storage applications. The company uses a dual-chemistry design to deliver transformative power services and rapidly clearing hurdles that stand in the way of mass clean energy adoption, extending range, increasing safety, lowering cost and using the cleanest chemistries, enabling OEMs (Original Equipment Manufacturers) to reach the market range expectations.</t>
  </si>
  <si>
    <t>Novi, MI</t>
  </si>
  <si>
    <t>Decagon</t>
  </si>
  <si>
    <t>Developer of an AI concierge platform designed to build, optimize and scale AI agents. The company's platform specializes in moving past complex configuration languages and defines agent workflows in natural language to refine behavior and optimize performance as quickly, enabling businesses to improve customer support.</t>
  </si>
  <si>
    <t>SmartNews</t>
  </si>
  <si>
    <t>Operator of a news platform intended to discover and deliver news stories. The company's platform uses machine learning algorithms to evaluate articles and social signals and categorizes these stories into business, technology, lifestyle, entertainment, sports, and world tabs, enabling consumers to stay updated with the news.</t>
  </si>
  <si>
    <t>Tokyo, Japan</t>
  </si>
  <si>
    <t>Unconventional AI</t>
  </si>
  <si>
    <t>Operator of an artificial intelligence-focused hardware startup intended to reinvent computer architecture for efficient and scalable artificial intelligence processing. The company offers a novel computing architecture that bypasses the limitations of traditional von Neumann systems, enabling customers to accelerate artificial intelligence workloads with energy efficiency and reduced data bottlenecks.</t>
  </si>
  <si>
    <t>Span (Household Appliances)</t>
  </si>
  <si>
    <t>Manufacturer of smart electrical panels intended to provide real-time monitoring and control of household energy usage. The company offers circuit-level energy tracking, remote control through a mobile application, integration with batteries and electric vehicles, and centralized energy dashboards, enabling homeowners and electricians to manage electricity consumption and optimize home electrification systems.</t>
  </si>
  <si>
    <t>Kao Data</t>
  </si>
  <si>
    <t>Operator of data centers intended to lead the industry, pioneering the development and operation of engineered for AI and advanced computing. The company offers a range of top-grade colocation options and specialist provision for good density computing such as HPC and AI, it offers build-to-suit that provides a full end-to-end data center solution for both the international hyper-scale community and enterprise clients requiring data center facilities at an industrial scale, enabling clients to access the cloud, HPC, AI and enterprise customers with a world-class home for their computing.</t>
  </si>
  <si>
    <t>Harlow, United Kingdom</t>
  </si>
  <si>
    <t>Qianxun Technology</t>
  </si>
  <si>
    <t>Developer of an artificial intelligence technology platform designed to activate humanity's potential. The company offers AI dialogue, AI drawing and the development of more AI applications, thereby enabling users to improve productivity.</t>
  </si>
  <si>
    <t>Rebellions</t>
  </si>
  <si>
    <t>Developer of artificial intelligence semiconductor-based full-stack alternatives designed to deliver a domain-specific AI processor along with its optimized software. The company's semiconductors are artificial intelligence accelerators that are built by bi-directionally bridging the gap between underlying silicon architectures and deep learning algorithms, attained by pushing algorithm boundaries to exploit silicon budgets and re-architecting artificial intelligence processors to incorporate features through silicon-dedicated DL kernels, enabling clients to arm themselves with energy-efficient artificial intelligence hardware as well as seamless integration.</t>
  </si>
  <si>
    <t>Seongnam, South Korea</t>
  </si>
  <si>
    <t>Pathos AI</t>
  </si>
  <si>
    <t>Developer of a drug discovery platform designed to reduce the duration of the medication development process. The company's self-learning platform uses big data, technology, and artificial intelligence to identify targets, validate them, and establish their clinical efficacy, enabling drug developers to explore novel concepts and advance breakthrough therapies for cancer and other diseases.</t>
  </si>
  <si>
    <t>Spring Health</t>
  </si>
  <si>
    <t>Operator of a digital healthcare platform intended to provide personalized mental healthcare for employee well-being. The company's platform uses an assessment and machine-learning technology to understand all of the conditions a person may be experiencing and uses those results to match them to a care plan personalized to their needs, enabling employees to modernize their behavioral health benefits with an effective and comprehensive alternative.</t>
  </si>
  <si>
    <t>Delfi Diagnostics</t>
  </si>
  <si>
    <t>Developer of a blood test system designed for the early detection of cancer. The company's medical system uses machine learning to specialize in the research and development of innovative blood and genome testing for the detection and interception of cancer when it is curable, enabling healthcare professionals to detect previously unrecognized cancer-associated cell-free DNA fragments and provide efficient treatments for a speedy recovery.</t>
  </si>
  <si>
    <t>Synthego</t>
  </si>
  <si>
    <t>Developer of a precision genome engineering platform designed to accelerate and optimize the drug discovery research journey. The company's platform incorporates the use of informatics and machine learning and brings precision and automation to genome engineering, enabling genetic engineers and medical professionals to conduct cost-effective research.</t>
  </si>
  <si>
    <t>MoEngage</t>
  </si>
  <si>
    <t>Developer of a marketing customer engagement platform designed to offer user analytics and engagement. The company's platform delivers personalized interactions via push notifications, analyzes customer behavior, and manages in-app recommendations, email, web push, and other communication channels in one dashboard, enabling clients to drive customer engagement and attract new customers for their businesses.</t>
  </si>
  <si>
    <t>Black Forest Labs</t>
  </si>
  <si>
    <t>Developer of a visual intelligence platform designed to enable high-fidelity image generation and image editing from text and reference inputs. The company's platform offers production-grade image generation models, multi-reference image control, local and cloud deployment options, and developer-friendly access, enabling developers, creative teams, and enterprises to generate realistic visuals with speed, control, and deployment flexibility.</t>
  </si>
  <si>
    <t>Freiburg im Breisgau, Germany</t>
  </si>
  <si>
    <t>Highland Electric Fleets</t>
  </si>
  <si>
    <t>Provider of fleet electrification services intended to electrify school buses. The company provides planning, procurement, implementation, and optimization to build an electric school bus fleet, enabling school districts, municipalities, and fleet managers to save money and reduce emissions.</t>
  </si>
  <si>
    <t>Beverly, MA</t>
  </si>
  <si>
    <t>Branch International Financial Services</t>
  </si>
  <si>
    <t>Developer of a financial platform designed to reduce the cost of delivering services in emerging markets. The company's platform assesses people's credit based on smartphone data, offers a quick approval process that allows building credit regardless of their banking history, and bypasses the hurdles imposed by traditional institutions, enabling consumers to get quick loans to fulfill their requirements.</t>
  </si>
  <si>
    <t>Mumbai, India</t>
  </si>
  <si>
    <t>GupShup</t>
  </si>
  <si>
    <t>Developer of smart messaging software designed to enhance customer engagement. The company's platform offers a cloud messaging base that assists brands and businesses in interacting, engaging, and communicating using any mobile device, enabling businesses to optimize and convert customer interactions into long-lasting relationships.</t>
  </si>
  <si>
    <t>d-Matrix</t>
  </si>
  <si>
    <t>Developer of an AI inference hardware and software platform designed to accelerate the deployment of generative AI in data centers. The company combines memory-centric digital in-memory compute architecture, stacked DRAM technology, chiplet-based accelerators, high-speed networking, and an integrated software stack with model factory, compression, compilation, inference engine, and runtime tooling, enabling hyperscale cloud providers, enterprises, and sovereign AI infrastructure operators to run large language models at low latency with improved energy efficiency and more commercially viable.</t>
  </si>
  <si>
    <t>AIsphere Technology</t>
  </si>
  <si>
    <t>Developer of general visual multi-modal large models designed to empower content creators and companies across the AIGC industry. The company offers visual multi-modal large models that focus on empowering various industries and scenarios, including image, 3D, and video, with capabilities in content creation, security, analysis, distribution, and commercialization, thereby serving content creators and companies to enhance efficiency throughout the content production value chain.</t>
  </si>
  <si>
    <t>Lightelligence</t>
  </si>
  <si>
    <t>Developer of an optical computing platform designed for disaggregated AI memory applications compatible with PCIe 5.0/6.0 and CXL 2.0/3.0. The company's platform uses artificial intelligence and nascent technology to transmit data via protons, enabling users to communicate information with significantly lower latency and higher throughput than standard electronic circuits.</t>
  </si>
  <si>
    <t>Perfios</t>
  </si>
  <si>
    <t>K Health</t>
  </si>
  <si>
    <t>Provider of digital primary care services intended to connect the world's health data to give people remote treatment. The company's platform helps to understand how doctors diagnose and treat similar people with similar symptoms and conditions for free, chat with a doctor for less than a copay, and retain a history of their medical records, enabling patients to get clinical data insights to seek answers or treatment without hesitation.</t>
  </si>
  <si>
    <t>Zhubajie</t>
  </si>
  <si>
    <t>Developer of a platform intended to promote employment and entrepreneurship. The company's platform matches talents with enterprises by utilizing artificial intelligence, blockchain, cloud and big data technologies, enabling enterprises to get services such as design, web construction, marketing, and copywriting and empowering freelancers to get flexible employment.</t>
  </si>
  <si>
    <t>iSpot</t>
  </si>
  <si>
    <t>Developer of a real-time advertising intelligence platform designed to provide television advertisement data and analytics. The company's platform offers proprietary technology that tracks attention and conversion from TV commercials, and movie trailers, and shows promotions across most networks in real-time, enabling advertisers to measure the brand and business impact of TV and streaming advertising, from concept to airing to conversion.</t>
  </si>
  <si>
    <t>Balance (PIG)</t>
  </si>
  <si>
    <t>Developer of a B2B checkout platform designed to process payments online. The company's platform uses a machine learning engine for real-time authentication and financial risk assessment to offer complete flexibility, enabling businesses to pay whenever they want.</t>
  </si>
  <si>
    <t>NotCo AI</t>
  </si>
  <si>
    <t>Developer of an artificial intelligence platform intended for research and product development in the consumer goods industry. The company's platform applies domain-specific machine learning trained on proprietary formulation, ingredient, sensory, process, and regulatory data, supporting data ingestion, constrained formulation exploration, and multi-objective optimization across cost, nutrition, taste, manufacturability, and compliance, enabling consumer packaged goods and FMCG companies to design, reformulate, and scale products efficiently from laboratory to production.</t>
  </si>
  <si>
    <t>Santiago, Chile</t>
  </si>
  <si>
    <t>Starburst</t>
  </si>
  <si>
    <t>Developer of an open lakehouse data platform designed to unify data access, governance, and analytics for applications and artificial intelligence workloads. The company's platform offers federated query capabilities, multi-cloud and on-premises deployment options, built-in governance controls, data catalog integration, and support for open table formats, enabling data teams and enterprises to run SQL queries, manage distributed datasets, and deploy AI applications without relocating data.</t>
  </si>
  <si>
    <t>BigPanda</t>
  </si>
  <si>
    <t>Developer of an incident management platform intended to enhance various information technology operations processes. The company's platform utilizes artificial intelligence to consolidate alerts from multiple monitoring tools, analyze incidents, identify patterns, and predict potential issues before they escalate, enabling the information technology operations team to reduce downtime and enhance service reliability.</t>
  </si>
  <si>
    <t>Multiverse</t>
  </si>
  <si>
    <t>Developer of an upskilling platform designed to accelerate AI adoption and enhance workforce skills in data and technology. The company offers expert-guided, AI-powered human coaching, personalized on-the-job learning, and measurable productivity improvements, enabling businesses and professionals to transform their capabilities into real business impact.</t>
  </si>
  <si>
    <t>Axelera AI</t>
  </si>
  <si>
    <t>Developer of an AI hardware and software acceleration platform designed for edge computing and computer vision inference. The company's platform integrates a custom dataflow architecture with multicore in-memory computing to support low-latency processing, low-power operation, multi-framework compatibility, and deployment flexibility, enabling edge device manufacturers, system integrators, and industrial AI developers to implement scalable, efficient, and real-time AI applications across various sectors, including smart cities, robotics, and retail.</t>
  </si>
  <si>
    <t>Eindhoven, Netherlands</t>
  </si>
  <si>
    <t>XReal Technology</t>
  </si>
  <si>
    <t>Developer of augmented reality and mixed reality technology designed to provide smart glasses. The company offers glasses sport a wide-screen display and uses SLAM-based environment-understanding AI algorithms, thereby providing users with an immersive mixed reality experience.</t>
  </si>
  <si>
    <t>FalconX</t>
  </si>
  <si>
    <t>Operator of a digital asset trading platform intended to provide clients with reliable execution using data science. The company's platform uses blockchain technology and machine learning to offer access to cryptocurrency markets for trading, credit, and clearing, and execute mid-to-large size trades at prices smartly routed across liquidity sources, enabling hedge funds, proprietary trading firms, and others to exchange and transfer currencies by eliminating slippage and hidden fees.</t>
  </si>
  <si>
    <t>Signifyd</t>
  </si>
  <si>
    <t>Developer of a standalone risk and fraud-prevention platform designed to make commerce safer for online retailers. The company's platform leverages big data, machine learning, and expert manual reviews to provide a financial guarantee against fraud on approved orders that turn out to be fraudulent, enabling retailers to provide friction-free buying experiences for their customers, increase sales, and open new markets while reducing risk.</t>
  </si>
  <si>
    <t>Workato</t>
  </si>
  <si>
    <t>Developer of an enterprise automation platform designed for integrations and operationalization of artificial intelligence for ease of use. The company's platform utilizes machine learning and patented technology for the creation and implementation of automation faster than traditional platforms, enabling business and IT teams to integrate their applications and business workflows without compromising security and governance and drive real-time outcomes from business events.</t>
  </si>
  <si>
    <t>Aidoc</t>
  </si>
  <si>
    <t>Developer of a decision support platform designed to empower physicians to enhance patient care outcomes. The company's platform processes medical imaging and patient data using advanced artificial intelligence algorithms to detect critical anomalies and activate the appropriate care pathway within the health system.</t>
  </si>
  <si>
    <t>ProducePay</t>
  </si>
  <si>
    <t>Developer of an agribusiness financing and trading platform intended to help fresh produce companies access capital and manage seasonal cash flow needs. The company provides specialized pre-season working capital and quick-pay financing that converts produce shipments into immediate cash, equipping forward-thinking agribusinesses and participants in the fresh produce industry with tools to invest, expand, and plan, enabling growers, distributors, and other produce market participants to operate more efficiently and support business growth.</t>
  </si>
  <si>
    <t>BitSight</t>
  </si>
  <si>
    <t>Developer of a cyber risk management platform intended to manage exposure, performance, and risk for themselves and their third parties. The company's platform applies algorithms by producing daily security ratings and helping organizations worldwide to manage third-party risk, enabling clients to make quality strategic security risk and business decisions.</t>
  </si>
  <si>
    <t>WEKA</t>
  </si>
  <si>
    <t>Developer of software-defined storage technology designed to offer high-performance and scalable file storage for data-intensive applications. The company offers a data platform designed to manage all of a user's data, beneficial for a variety of industries including life sciences, media and entertainment, financial services, and federal government, enabling enterprises to build differentiated storage systems and convert data for revenue.</t>
  </si>
  <si>
    <t>Campbell, CA</t>
  </si>
  <si>
    <t>Dialpad</t>
  </si>
  <si>
    <t>Developer of a cloud-based business phone system designed to turn conversations into opportunities and help global teams make smarter calls anywhere, and anytime. The company's products span video meetings, cloud call centers, sales coaching, dialers, and enterprise phone systems and are all infused with the latest AI technologies to help every business make smarter calls, enabling clients to transcribe meetings, take notes on action items, analyzes caller sentiment, and even coaches their agents in real-time.</t>
  </si>
  <si>
    <t>San Ramon, CA</t>
  </si>
  <si>
    <t>Aria Systems</t>
  </si>
  <si>
    <t>Developer of an artificial intelligence-based billing automation platform intended to designed to handle usage and subscription business models. The company's platform offers marketing intelligence tools, customer lifecycle management services, and manages all order-to-cash processes, offering a wide range of monetization models, supports smart adaptive products, account hierarchies, rating, and credit management, enabling as-a-service businesses to lower the cost to serve.</t>
  </si>
  <si>
    <t>Glance</t>
  </si>
  <si>
    <t>Developer of a mobile application designed to assist users in enjoying personalized content in their favorite language. The company's application is available in multiple languages and democratizes content and commerce on the Internet, enabling users to simplify their lives by making the internet frictionless and staying aware of the recent updates of their favorite content.</t>
  </si>
  <si>
    <t>Robotera</t>
  </si>
  <si>
    <t>Developer of a humanoid robot designed to apply smart robot into daily life. The company relies on artificial intelligence technologies to develop universal humanoid robots that can be applied in different scenarios, enabling AI into consumer's life.</t>
  </si>
  <si>
    <t>Teamworks</t>
  </si>
  <si>
    <t>Developer of an athlete engagement application designed to help sports teams in an organized manner. The company's application assists athletes, coaches, and staff at various international clubs to operate effectively by streamlining their daily workflow, enabling athletes and teams to organize and execute their game plans efficiently.</t>
  </si>
  <si>
    <t>Durham, NC</t>
  </si>
  <si>
    <t>Cleerly</t>
  </si>
  <si>
    <t>Developer of a healthcare platform designed to create a new standard of care for coronary artery disease. The company's platform has a non-invasive approach that supports the understanding of plaques and offers quantification and characterization of plaque buildup in the heart arteries, enabling healthcare providers to drastically improve the identification of at-risk patients for early treatment and prevention of heart attacks cost-effectively.</t>
  </si>
  <si>
    <t>Exo</t>
  </si>
  <si>
    <t>Developer of a handheld ultrasound device designed for medical imaging and therapeutic applications. The company's technology combines advanced nano-materials, novel sensor technologies, advanced signal processing, and computation with the economies of scale of semiconductor manufacturing, enabling healthcare professionals to make critical, real-time decisions that improve patient outcomes at a lower and more convenient cost.</t>
  </si>
  <si>
    <t>Guesty</t>
  </si>
  <si>
    <t>Developer of a cloud-based property management software designed for short-term vacation rentals. The company's software unifies different necessary aspects of hospitality operations, channel management, and automation as well as helps in communications with the target audience, collects payments and coordinates with the staff to enhance real estate management, enabling professional property managers to seamlessly cross-manage different vacation bookings.</t>
  </si>
  <si>
    <t>Incode Technologies</t>
  </si>
  <si>
    <t>Developer of an end-to-end omnichannel identity platform designed to offer a frictionless customer experience at every point of contact with a consistent level of security across multiple channels. The company's platform uses AI to offer secure biometric products for banking, payment, and retail industries to distinguish legitimate users from fraudsters through deterministic verification, advanced deepfake protection, and intelligent orchestration, enabling customers to validate their identity with their face and government-issued ID through a web version or native applications and permitting organizations to authenticate and onboard new customers easily.</t>
  </si>
  <si>
    <t>Flex (Financial Services)</t>
  </si>
  <si>
    <t>Operator of a financial platform intended to unify business and personal finances for entrepreneurs. The company's platform integrates business banking, credit, expense management, automation of accounts payable and receivable, along with personal benefits, enabling entrepreneurs to gain control over both business and personal transactions, improving efficiency and access to resources.</t>
  </si>
  <si>
    <t>Hippocratic AI</t>
  </si>
  <si>
    <t>Developer of a healthcare platform intended to improve healthcare accessibility and health outcomes worldwide. The company's platform helps develop safe artificial health general intelligence to improve healthcare accessibility and fitness outcomes, enabling patients to get healthcare at home and improve their health without any hassle</t>
  </si>
  <si>
    <t>Pigment</t>
  </si>
  <si>
    <t>Developer of a business planning platform intended to build and adapt strategic plans. The company's platform consumes data from many sources in real-time and presents it in an intuitive, full-spectrum view of the company that helps users play with multiple future scenarios through charts, simulations, and continuous modeling, enabling companies to scale their operations through data-driven methods.</t>
  </si>
  <si>
    <t>Pax8</t>
  </si>
  <si>
    <t>Developer of a cloud-based distribution infrastructure software designed for the delivery and management of products. The company's platform offers a centralized marketplace that integrates quoting, provisioning, and billing with productivity, security, and infrastructure services automation, analytics, and partner enablement tools, enabling businesses to streamline operations, scale offerings, and manage client software lifecycles.</t>
  </si>
  <si>
    <t>Greenwood Village, CO</t>
  </si>
  <si>
    <t>Stability AI</t>
  </si>
  <si>
    <t>Developer of a generative artificial intelligence (AI) tool designed to create images based on text input. The company's tool implements given text commands into images and other forms of media using collective intelligence and augmented technology, enabling clients to develop open artificial intelligence models for image, language, audio, video, 3D, and biology.</t>
  </si>
  <si>
    <t>CoachHub</t>
  </si>
  <si>
    <t>Developer of employee coaching software designed to provide personalized mentoring for employees of all career levels. The company's platform creates a personalized, measurable, and scalable coaching program for the entire workforce, regardless of department and seniority level, enabling clients with live coaching sessions via video conferencing.</t>
  </si>
  <si>
    <t>Eightfold</t>
  </si>
  <si>
    <t>Developer of a talent intelligence platform designed to assist companies to find, recruit and retain workers. The company's platform bridges the talent gap by leveraging the power of artificial intelligence which empowers to turn talent management into a competitive advantage, enabling clients to match candidates to the right roles.</t>
  </si>
  <si>
    <t>Hugging Face</t>
  </si>
  <si>
    <t>Developer of a machine-learning community platform designed to collaborate on models, datasets, and applications. The company's platform emphasizes creating, discovering, and collaborating on machine-learning projects and offers paid computing and enterprise systems to accelerate processes with open-source development, enabling users to support and advance the field of machine learning through collaboration, tools, and services.</t>
  </si>
  <si>
    <t>Zest AI</t>
  </si>
  <si>
    <t>Developer of an online financial platform designed to improve credit underwriting. The company's platform makes fair and transparent credit available to everyone, gives lenders a better understanding of risk, and offers its products and services to people at lower prices, enabling clients to make proper credit decisions.</t>
  </si>
  <si>
    <t>Burbank, CA</t>
  </si>
  <si>
    <t>UVeye</t>
  </si>
  <si>
    <t>Developer of vehicle inspection systems designed to detect threats or modifications of vehicles. The company's systems utilize high-resolution, high-speed cameras, machine learning, and computer vision to detect and identify concealed weapons and other contraband, enabling government organizations vehicle manufacturers, rental companies, and logistical centers to improve maintenance and security levels.</t>
  </si>
  <si>
    <t>Teaneck, NJ</t>
  </si>
  <si>
    <t>Superhuman</t>
  </si>
  <si>
    <t>Developer of writing assistance technology designed to help people with real-time support to write more clearly and effectively. The company's artificial intelligence-powered communication assistant uses a combination of technological approaches and human expertise to offer communication support to individuals and enterprises, enabling people to communicate with confidence and helping businesses achieve results.</t>
  </si>
  <si>
    <t>Fiture Technology</t>
  </si>
  <si>
    <t>Provider of home workout solutions intended to help clients foster a healthy lifestyle. The company offers clients online customized workout courses and manufactures intelligent hardware and home workout equipment by utilizing artificial intelligence technologies, enabling users to have excellent workout experiences at home.</t>
  </si>
  <si>
    <t>Chengdu, China</t>
  </si>
  <si>
    <t>Reve (Multimedia and Design Software)</t>
  </si>
  <si>
    <t>Developer of a text-to-image generation tool designed for prompt adherence, aesthetics, and typography. The company's platform features generating images from text descriptions without requiring advanced prompt engineering and modifying existing images with simple language commands, including changing colors, adjusting text, and altering perspectives, enabling users to create visuals that match a specific style or inspiration.</t>
  </si>
  <si>
    <t>Caresyntax</t>
  </si>
  <si>
    <t>Developer of a data-driven surgical analysis platform designed to improve patient outcomes. The company's platform utilizes artificial intelligence to analyze large volumes of video, audio, images, and clinical and operational data in and around the operating room, enabling healthcare businesses to gain insights that can be used live during surgery, for post-surgical improvement, and risk assessment.</t>
  </si>
  <si>
    <t>Larkspur, CA</t>
  </si>
  <si>
    <t>QScale</t>
  </si>
  <si>
    <t>Developer of computing infrastructure designed for AI processing. The company's platform provides high-density campuses configured to operationalize machine learning and compute intensive workloads and offers environmentally responsible data processing, enabling clients to get faster results without polluting the planet.</t>
  </si>
  <si>
    <t>Levis, Canada</t>
  </si>
  <si>
    <t>SAFE Security</t>
  </si>
  <si>
    <t>Developer of a cyber risk quantification and management (CRQ+M) platform designed to secure, continuously monitor, and proactively respond to cyber threats. The company's platform creates a common risk taxonomy to communicate and align stakeholders across the organization, change the security conversation from tactical project-led benefits to strategic value, and cement the security, enabling businesses to mitigate cyber risks through a prioritized set of actionable insights.</t>
  </si>
  <si>
    <t>YITU</t>
  </si>
  <si>
    <t>Developer of artificial intelligence technology used in the fields of smart cities, smart medical, and smart commerce. The company is engaged in the research of computer vision, image and video intelligent understanding, distributed system and big data application, it offers traffic management software, medical diagnostic technology and intelligent hardware, enabling companies to apply AI technology in their products.</t>
  </si>
  <si>
    <t>EvenUp</t>
  </si>
  <si>
    <t>Developer of legal practice management software designed for getting fair trials and outcomes in personal injury cases. The company's platform uses machine learning and artificial intelligence to understand how much a lawsuit is worth as well as provide funds for cases that only have to be repaid if won, enabling plaintiffs to avoid settling early or incurring crippling debts and giving attorneys data for principled settlement negotiations.</t>
  </si>
  <si>
    <t>Agile Robots</t>
  </si>
  <si>
    <t>Developer of a robotic technology designed to offer full-body force sensitivity and vision intelligence-based systems. The company's scalable robot systems are optimized for the flexible integration of perception, intelligence, and actuation elements and also offer a lightweight robotic arm with ultra-sensitive joint torque sensors to detect and respond to every interaction with human users and the environment, providing clients with systems that connect artificial intelligence and the physical world.</t>
  </si>
  <si>
    <t>Fundbox</t>
  </si>
  <si>
    <t>Developer of an AI-driven cash flow management platform designed to facilitate business payments and credit network systems utilizing machine learning. The company leverages deep data analytics for invoice financing offerings and a line of credit to increase average order volumes and improve close rates by offering net terms, enabling SMEs to accelerate cash flow against their outstanding invoices and manage their businesses better.</t>
  </si>
  <si>
    <t>Plano, TX</t>
  </si>
  <si>
    <t>EliseAI</t>
  </si>
  <si>
    <t>Developer of a conversational artificial intelligence platform designed to automate communications and workflows in housing and healthcare operations. The company's platform offers multi-channel support, including voice, text, email, and chat, and provides assistance, including response to leads, answering prospective tenant questions, scheduling tours, and following up with paperwork, enabling property managers and healthcare providers to enhance efficiency, reduce costs, and improve service quality.</t>
  </si>
  <si>
    <t>Semperis</t>
  </si>
  <si>
    <t>Developer of an identity-focused cybersecurity platform designed to protect the integrity and availability of critical enterprise directory services. The company's platform offers tools that include directory services protection for hybrid threat detection, response, disaster recovery, and capabilities for active directory migration and consolidation with security posture assessment and attack path discovery within an identity resilience framework, enabling enterprises and organizations with active directory to enhance cybersecurity posture and resilience.</t>
  </si>
  <si>
    <t>Modular</t>
  </si>
  <si>
    <t>Developer of an artificial intelligence development platform designed to rebuild artificial intelligence infrastructure for everyone. The company's platform focuses on usability, velocity, and flexibility that unifies popular framework front-ends via common interfaces and enhances access and portability to a wide range of hardware backends and cloud environments, enabling developers with tools that can be easily adopted into existing workflows without re-architecting or rewriting their code.</t>
  </si>
  <si>
    <t>Los Altos Hills, CA</t>
  </si>
  <si>
    <t>Constrafor</t>
  </si>
  <si>
    <t>Developer of a construction procurement platform designed to streamline interactions in the construction industries. The company's platform offers multiple bids on a project, stays ahead of deadlines, manages and keeps track of all bid versions and responses on one platform, and seamlessly communicates with suppliers, enabling the construction industries to streamline their procurement process from request for quotation issuance to proposal signing.</t>
  </si>
  <si>
    <t>Aspen Neuroscience</t>
  </si>
  <si>
    <t>Developer of autologous cell therapies and personalized medicines designed for a broad spectrum of diseases, starting with Parkinson's disease. The company's platform reprograms a patient's own cells into iPSC-derived neuronal precursors, incorporates automation, machine-learning-based quality control, and robotics-driven manufacturing, and places the resulting cells directly into targeted brain regions without immunosuppression, enabling the neurology market to access personalized therapeutic options aimed at restoring dopamine-related function.</t>
  </si>
  <si>
    <t>Sakana AI</t>
  </si>
  <si>
    <t>Operator of an artificial intelligence driven information technology company intended to build a model based on nature-inspired intelligence. The company specializes in developing an AI model that can generate text, images, video, code, and multimedia, enabling clients to collaborate on the research and development of generative AI.</t>
  </si>
  <si>
    <t>SecurityScorecard</t>
  </si>
  <si>
    <t>Developer of a security rating platform designed to empower every organization with collaborative security intelligence. The company's platform identifies possible vulnerabilities from a hacker's perspective, covering areas such as network, endpoints, DNS health, and IP reputation, enabling enterprises to gain operational command of their security posture and protect their business.</t>
  </si>
  <si>
    <t>Vastai Technologies</t>
  </si>
  <si>
    <t>Developer of semiconductor chip products intended for computer vision, video processing and other artificial intelligence applications. The company's products are designed to provide computing power for AI visual applications, serving computer device producers to incorporate advanced chip technology in their products.</t>
  </si>
  <si>
    <t>AMP Sortation</t>
  </si>
  <si>
    <t>Developer of an AI-powered material recovery system designed to automate and optimize waste sortation processes. The company offers robotics-integrated sorting lines, real-time material recognition, autonomous feedstock blending, continuous purity monitoring, and adaptive throughput optimization, enabling recycling facility operators and waste management companies to increase recovery rates, reduce manual labor dependency, and maintain consistent performance across dynamic waste streams and regulatory environments.</t>
  </si>
  <si>
    <t>Louisville, CO</t>
  </si>
  <si>
    <t>Astronomer</t>
  </si>
  <si>
    <t>Developer of a data orchestration platform designed to collect and prepare statistics for business analytics. The company's platform offers a suite of products and services to deploy, manage, and scale distributed airflow assistance with isolated resource allocation, user access and accounts, enabling data engineers, data scientists, and data analysts to build, run, and observe pipelines-as-code.</t>
  </si>
  <si>
    <t>Suno Studio</t>
  </si>
  <si>
    <t>Operator of an emerging generative AI music company designed to create songs. The company builds consumer AI audio products, generates two tunes that sound different and have different lyrics, and uses genres and vibes rather than specific artist names, enabling users to create songs by writing their own lyrics.</t>
  </si>
  <si>
    <t>Zip</t>
  </si>
  <si>
    <t>Developer of an intake and procurement orchestration platform designed to introduce a place for employees to request purchases. The company's platform automatically recommends the preferred vendors, checks against price benchmarks and integrates directly with the accounting, contract management and IT systems, enabling clients to reduce the time spent coordinating approvals, cut costs and assure compliance by coordinating purchase approvals in one place.</t>
  </si>
  <si>
    <t>BrainCo</t>
  </si>
  <si>
    <t>Developer of brain-machine interface technology products designed to use neurofeedback to train the brain for low-stress productivity. The company develops products that can monitor, visualize, and analyze brainwaves by converting brain signals into digital signals and detect and quantify students' attention levels in the classrooms, enabling users to improve their attention spans by offering positive feedback in real time.</t>
  </si>
  <si>
    <t>Augury</t>
  </si>
  <si>
    <t>Developer of an artificial intelligence-powered machine health platform designed to help manufacturers eliminate downtime and maximize productivity. The company's platform offers comprehensive options for monitoring and managing machine health, which provide insights into machine performance and condition and make proactive decisions, enabling clients to eliminate downtime, optimize maintenance, and predict machine failures before they happen.</t>
  </si>
  <si>
    <t>Verana Health</t>
  </si>
  <si>
    <t>Operator of a data insights platform intended to accelerate healthcare innovation and optimize drug and device development. The company's platform utilizes regulatory-grade data sets to uncover new market opportunities, enhance trial design and enrollment, gain competitive intelligence to benchmark commercial success, and target marketing efforts among others, enabling life science companies to make informed decisions using data from clinical specialty databases.</t>
  </si>
  <si>
    <t>Hive</t>
  </si>
  <si>
    <t>Developer of a cloud-based artificial intelligence software designed to streamline the creation of custom business models. The company's software features data labeling, model deployment, automated image search, and authentication and protects digital ownership, enabling clients to easily automate business processes such as receipt parsing, advertisement identification, and transcription to reduce their overhead.</t>
  </si>
  <si>
    <t>SiFive</t>
  </si>
  <si>
    <t>Developer of customized and open-source-enabled semiconductors designed to democratize access to custom silicon. The company's products are based on the free and open instruction set architecture for modern microprocessors that consist of all of the software instructions needed to program a microprocessor based on the architecture, enabling system designers to reduce time-to-market and realize cost savings with customized semiconductors.</t>
  </si>
  <si>
    <t>Galaxea AI</t>
  </si>
  <si>
    <t>Developer and manufacturer of embodied intelligent robots and foundational AI models designed for versatile automation and intelligent systems. The company provides full-stack technological solutions and core modules, enabling businesses and research partners with advanced automation, enhanced operational intelligence, and scalable robotic applications.</t>
  </si>
  <si>
    <t>Evidation Health</t>
  </si>
  <si>
    <t>Developer of a health data analytics platform designed to collect and analyze continuous behavior data and healthcare information. The company's platform turns raw, high-frequency everyday behavior data from sensors, devices, speech, video, and other sources into useful insights about health and diseases, enabling individuals and companies to understand and influence the everyday behaviors that create better health outcomes.</t>
  </si>
  <si>
    <t>Feedzai</t>
  </si>
  <si>
    <t>Developer of a financial risk management platform designed to offer finance-related fraud detection and prevention facilities. The company's platform leverages artificial intelligence and machine learning to detect anomalies and highlight potential cases of fraud, enabling financial institutions and retailers to prevent losses from fraudulent transactions and minimize risk exposure.</t>
  </si>
  <si>
    <t>Coimbra, Portugal</t>
  </si>
  <si>
    <t>Kong</t>
  </si>
  <si>
    <t>Developer of a unified cloud native platform designed to manage, monitor, and scale application programming interfaces and micro-services. The company's platform offers API gateways, developer portals, and API analytics, enabling development teams to distribute, monetize, manage, analyze, and utilize APIs.</t>
  </si>
  <si>
    <t>NetraDyne</t>
  </si>
  <si>
    <t>Developer of fleet safety and management technology designed to enhance transportation industry standards. The company provides AI-driven software and hardware leveraging machine learning and edge computing to reduce accidents, enabling commercial vehicle drivers to gain real-time awareness of risky behavior, minimize incidents, and safeguard against false claims.</t>
  </si>
  <si>
    <t>Hootsuite</t>
  </si>
  <si>
    <t>Developer of a social media management platform designed to help organizations connect with customers. The company's platform executes campaigns across multiple social networks from one secure, web-based dashboard that offers tools to manage all profiles and helps in finding and scheduling effective content, enabling organizations to spot trends and have insight into relevant data.</t>
  </si>
  <si>
    <t>Vancouver, Canada</t>
  </si>
  <si>
    <t>Vectra</t>
  </si>
  <si>
    <t>Developer of a network intrusion detection platform designed to automate real-time threat detection and response. The company's platform accelerates threat detection and investigation using artificial intelligence to enrich network metadata it collects and stores with the right context to detect, hunt, and investigate known and unknown threats in real time, enabling enterprises to immediately detect and respond to cyberattacks across the cloud, data center, IT, and IoT networks.</t>
  </si>
  <si>
    <t>Lightricks</t>
  </si>
  <si>
    <t>Developer of content creation tools designed to offer advanced visual processing engines for mobile platforms. The company's tools use proprietary algorithms and augmented reality components to preview and apply editing effects like teeth whitening, blemish removal, and skin smoothing, enabling users to customize and edit their photos easily.</t>
  </si>
  <si>
    <t>Jerusalem, Israel</t>
  </si>
  <si>
    <t>Bespin Global</t>
  </si>
  <si>
    <t>Operator of a cloud-based information technology platform intended to drive the digital transformation of clients by helping them adopt cloud IT. The company's platform provides automated multi-cloud management services for IT operations in the cloud and helps to use the cloud effectively for digital power transformation, enabling clients to leverage everything the cloud has to offer in speeding up digital innovation.</t>
  </si>
  <si>
    <t>Seoul, South Korea</t>
  </si>
  <si>
    <t>Oxa Autonomy</t>
  </si>
  <si>
    <t>Developer of an AI-based autonomous vehicle journey platform designed to operate, accelerate, and scale deployment for fleets of autonomous vehicles. The company's software enables autonomous systems to understand their environment and navigate safely through a pedestrianized environment, enabling clients with specific positioning and detect and predict the movement of vehicles better.</t>
  </si>
  <si>
    <t>Oxford, United Kingdom</t>
  </si>
  <si>
    <t>Expected 30-Jun-2026</t>
  </si>
  <si>
    <t>Huma</t>
  </si>
  <si>
    <t>Operator of a health technology company intended to advance connected care and accelerate research and therapies. The company combines predictive algorithms, digital biomarkers and real-world data to advance proactive, predictive care and research and offers a blend of medical expertise and has partnered with several leading healthcare institutes to measure and improve outcomes for diseases, enabling healthcare professionals to use data to deliver good health for all.</t>
  </si>
  <si>
    <t>Globality</t>
  </si>
  <si>
    <t>Operator of an enterprise spend management company intended to match corporations with service providers throughout the world. The company's marketplace offers small service providers the opportunity to work with large companies while also exposing large enterprises to a network of SME service providers, 
enabling businesses to work together on a secure platform with end-to-end project management for increased efficiency and better results.</t>
  </si>
  <si>
    <t>SiMa.ai</t>
  </si>
  <si>
    <t>Edge AI</t>
  </si>
  <si>
    <t>Developer of machine learning technology designed to deliver a software-centric platform. The company's platform accelerates the proliferation of high-performance machine learning inference at very low power in embedded edge applications and with push-button performance, deployment, and scaling at the embedded edge, enabling businesses to support traditional computing with high-performance, low-power, safe, and secure deep learning inference.</t>
  </si>
  <si>
    <t>Clarify</t>
  </si>
  <si>
    <t>Developer of a real-time analytics platform designed to incorporate predictive analytics and machine learning into the design of care delivery models. The company's platform integrates powerful analytics, artificial intelligence, real-time patient navigation, and workflows to proactively guide patients and their caregivers through personalized care journeys, enabling healthcare providers to deliver value services and navigate complex decisions.</t>
  </si>
  <si>
    <t>PatSnap</t>
  </si>
  <si>
    <t>Developer of an AI-powered intelligence platform designed to empower innovators with actionable insights to make informed decisions and drive their businesses forward. The company's platform offers comprehensive patent, market, and technology intelligence, enabling clients to identify new opportunities, assess risks, track competitors, and make informed decisions.</t>
  </si>
  <si>
    <t>Neko Health</t>
  </si>
  <si>
    <t>Developer of a medical scanning technology designed to help people stay healthy through preventive measures and early detection. The company leverages sensor technology and artificial intelligence to design medical healthcare that offers early disease prevention while reducing the prevalence of common diseases and their associated costs, enabling doctors and clinicians to offer cheap and flexible examinations that can raise the quality of healthcare and focus on prevention.</t>
  </si>
  <si>
    <t>Bedrock Robotics</t>
  </si>
  <si>
    <t>Developer of autonomous systems designed for construction and heavy equipment operation. The company's platform integrates adaptive machine intelligence, continuous performance learning, real-time progress tracking, and remote operational oversight, enabling construction industries to increase site safety, reduce project timelines, lower operational costs and improve equipment utilization across a wide range of infrastructure projects.</t>
  </si>
  <si>
    <t>Gecko Robotics</t>
  </si>
  <si>
    <t>Developer of artificial intelligence (AI)-driven robotics systems designed for infrastructure inspection and predictive maintenance. The company's systems integrate autonomous climbing, crawling, and swimming robots with advanced sensor technology, enabling industries to reduce operational risks through real-time insights and long-term planning.</t>
  </si>
  <si>
    <t>Coralogix</t>
  </si>
  <si>
    <t>Developer of observability and security analytics software designed for real-time monitoring and analysis of operational data. The company's software uses a streaming analytics pipeline to process logs, metrics, traces, and security data without indexing, enabling clients to gain full-stack visibility, reduce storage costs, detect anomalies, and troubleshoot performance issues.</t>
  </si>
  <si>
    <t>Dewpoint Therapeutics</t>
  </si>
  <si>
    <t>Developer of an AI-powered healthcare technology platform designed to identify novel drugs across a wide spectrum of diseases. The company's platform facilitates a proprietary end-to-end experimental platform and uses machine-learning-based image analysis tools for visualizing condensates to prevent harmful protein sequestration, enabling healthcare providers to have access to new therapies to address unmet needs.</t>
  </si>
  <si>
    <t>Ambience Healthcare</t>
  </si>
  <si>
    <t>Developer of an artificial intelligence-powered medical scribe designed to capture the nuances of clinician-patient conversation in real-time into a comprehensive note. The company's auto scribe offers state-of-the-art speech recognition, real-time documentation and custom-built artificial intelligence to embed into electronic medical record workflows and generate notes within seconds and customize to individual preferences to reflect each provider's style and voice, enabling clinicians to get home on time every day with all of their charts closed by the end of their shift.</t>
  </si>
  <si>
    <t>Altana Technologies</t>
  </si>
  <si>
    <t>Operator of a global supply chain platform intended to offer trade data management services. The company's platform connects internal and external data for providing clean data sets as well as providing a real-time view of transactions, ownership, movements, and risk across the global trade network, and insights from data through machine learning, enabling businesses, governments, and financial service providers to make trade safer, efficient, and profitable.</t>
  </si>
  <si>
    <t>Alpaca</t>
  </si>
  <si>
    <t>Developer of a modern brokerage platform designed to access financial markets with a developer-friendly application programming interface. The company's platform allows programmer traders and funds to trade stocks and crypto with algorithms, enabling businesses to build investing applications and embed investing into their product lineups.</t>
  </si>
  <si>
    <t>Deep Instinct</t>
  </si>
  <si>
    <t>Developer of a cybersecurity platform intended to protect against evasive unknown malware in real-time. The company's platform protects against threats and attacks by identifying malware from any data source resulting in comprehensive protection on any device and operating system, enabling clients to prevent cyber threats in a hassle-free manner through its deep learning platform.</t>
  </si>
  <si>
    <t>Velaura</t>
  </si>
  <si>
    <t>Developer of a web infrastructure platform intended to offer a broad range of infrastructure across hardware, blockchain, and artificial intelligence. The company's platform aims to build software, hardware, and cloud features to enable a scalable, sustainable, and secure infrastructure, enabling clients to get disruptive infrastructure and leverage modern technologies.</t>
  </si>
  <si>
    <t>Iterable</t>
  </si>
  <si>
    <t>Developer of an artificial intelligence-powered customer communication platform designed to help organizations activate customers with interactions at scale. The company's platform offers user engagement campaigns throughout the full lifecycle, using contextual and behavior-driven data, proprietary algorithms, and artificial intelligence to determine the time for customer engagement and conversion, enabling marketers to safely send campaigns without risking channel fatigue.</t>
  </si>
  <si>
    <t>Avathon</t>
  </si>
  <si>
    <t>Developer of an AI-based machine learning software designed to help organizations solve their critical problems and run a sustainable, safe and profitable business. The company's software empowers commercial and government customers with scalable, secure and value-driven solutions that enhance efficiency and resilience across heavy industry to address challenges including risk mitigation and process optimization, enabling business professionals and corporate clients to optimize operations, predict future events, protect assets and accelerate growth.</t>
  </si>
  <si>
    <t>Pleasanton, CA</t>
  </si>
  <si>
    <t>Hailo (Application Specific Semiconductors)</t>
  </si>
  <si>
    <t>Developer of high-performance artificial intelligence processors designed to run advanced computational tasks on edge devices. The company offers processors with minimal power consumption and real-time inferencing capabilities, enabling manufacturers of personal computers, vehicles, cameras, and robots to deploy compact and low-power artificial intelligence computing.</t>
  </si>
  <si>
    <t>Path Robotics</t>
  </si>
  <si>
    <t>Manufacturer of welding robots designed to find and weld seams autonomously. The company's product includes robots that eliminate long production hours, improve testing, tolerances, and consistency that cause crashes or scrap, and check parts and build tool paths for every introduced part, enabling industries to simplify and improve the production process.</t>
  </si>
  <si>
    <t>Columbus, OH</t>
  </si>
  <si>
    <t>Juvenescence</t>
  </si>
  <si>
    <t>Developer of an anti-aging therapeutics designed to extend healthy lifespan by targeting core aging mechanisms. The company leverages artificial intelligence to develop a pipeline of clinical and near-clinical stage candidates for cognition, cardio-metabolism, immunity, and cellular repair, enabling medical companies with the treatment and prevention of age-related diseases while supporting advancements in regenerative medicine.</t>
  </si>
  <si>
    <t>Dublin, Ireland</t>
  </si>
  <si>
    <t>Mujin</t>
  </si>
  <si>
    <t>Developer of industrial robots designed for factory automation and to enhance manufacturing productivity. The company aids most robots in the market, can optimize offline motions for complex robot constraints, and fully integrates into complex real-time systems with machine vision and programmable logic controllers, enabling businesses to automate heavy and simple work done by humans in the logistics and manufacturing sectors.</t>
  </si>
  <si>
    <t>Koto, Japan</t>
  </si>
  <si>
    <t>Alation</t>
  </si>
  <si>
    <t>Developer of an enterprise collaborative data platform designed to find, understand, and use the right data. The company's platform merges machine learning with human insight to automatically capture information and drive business outcomes from self-service analytics about where the data comes from, who is using it, and how it is used, enabling analysts to find, collaborate, and govern data for better decisions.</t>
  </si>
  <si>
    <t>Shanghai Iluvatar CoreX Semiconductor (HKG: 09903)</t>
  </si>
  <si>
    <t>Shanghai Iluvatar CoreX Semiconductor Co Ltd offers GPGPU products and AI computing solutions across diverse industries. Its product portfolio includes GPGPU chips and accelerators, as well as customized AI computing solutions, including GPGPU servers and clusters, that combine its hardware with proprietary software stack to address specific customer needs in training and inference scenarios. The company specializes in the research, design, and deployment of advanced GPGPU products and AI computing solutions across diverse industries.</t>
  </si>
  <si>
    <t>Tier IV</t>
  </si>
  <si>
    <t>Developer of autonomous vehicles designed to help individuals and organizations overcome the barriers of time and space. The company's vehicles feature an artificial intelligence pilot, remote driving kit, HD mapping services, laser scanner, and camera-based driving sensors to expedite complete autonomous operation, enabling customers to commute from one place to another safely without the need to drive their vehicles.</t>
  </si>
  <si>
    <t>Contentful</t>
  </si>
  <si>
    <t>Developer of a content platform designed to create digital experiences. The company unifies and structures content in a single hub and provides a framework for integration with various tools, enabling businesses to import design components, save templates for reuse, and map existing content.</t>
  </si>
  <si>
    <t>Unico (Business / Productivity Software)</t>
  </si>
  <si>
    <t>Developer of facial biometric recognition and identification technology designed to identify individuals in digital journeys, such as transactions and onboardings. The company's technology facilitates people's relationships with companies and solves major challenges such as anti-fraud facial biometrics and purchaser/consumer authentication, enabling companies to mitigate the risk of fraud and identity theft.</t>
  </si>
  <si>
    <t>Fal</t>
  </si>
  <si>
    <t>Developer of a generative media platform designed to offer quality media models. The company provides services to deploy machine learning models, remove complex data pipelines, and increase the speed of work, enabling data scientists to run code alongside direct benefit transfer to send alerts, detect anomalies, and build machine learning models.</t>
  </si>
  <si>
    <t>Capitolis</t>
  </si>
  <si>
    <t>Developer of a financial platform intended to optimize resource allocation among market participants. The company's platform facilitates seamless transactions between financial institutions, enhances access to diversified capital, and improves risk management, enabling banks and other financial entities to operate efficiently while fostering a capital market environment.</t>
  </si>
  <si>
    <t>Algolia</t>
  </si>
  <si>
    <t>Developer of a search and discovery application programming interface platform designed to create relevant experiences. The company's platform provides the infrastructure, engine, and tools needed to create fast, relevant consumer-grade search, enabling developers to easily integrate it into websites and applications and drive consumer engagement.</t>
  </si>
  <si>
    <t>Tempo (Recreational Goods)</t>
  </si>
  <si>
    <t>Operator of an at-home fitness platform intended to improve the quality of workout movement and techniques. The company's platform utilizes 3D sensors that can track movements and use that data to give users an effective workout in live and on-demand classes, enabling users to access real-time reporting of their form, stability, posture, balance and other factor points from professional trainers and recorded classes from group fitness trainers.</t>
  </si>
  <si>
    <t>Loadsmart</t>
  </si>
  <si>
    <t>Developer of a logistics management platform intended to help shippers, carriers, and warehouses move freight in an efficient, transparent, and automated way. The company's platform leverages technology and logistics data to build efficiency around how freight is priced, booked, and shipped through a comprehensive logistics technology with deep-seated freight industry expertise, enabling transportation companies to deliver optimized, reliable, and transparent freight services</t>
  </si>
  <si>
    <t>Ricursive Intelligence</t>
  </si>
  <si>
    <t>Developer of an artificial intelligence (AI) driven semiconductor design platform designed to accelerate and scale AI compute. The company's platform applies advanced machine learning and distributed computing to optimize chip architectures, shortens silicon design and verification cycles, enabling AI developers and hardware manufacturers to compress semiconductor development timelines and support frontier AI systems.</t>
  </si>
  <si>
    <t>Clarity AI</t>
  </si>
  <si>
    <t>Developer of a sustainability technology platform designed to deliver environmental and social insights. The company's platform uses machine learning and big data to contribute toward a socially efficient capital allocation by providing decision-makers with the tools to understand the capabilities of sustainability analysis related to investing, corporate research, benchmarking, consumer e-commerce, and regulatory reporting, enabling investors to assess the sustainability of all societal stakeholders.</t>
  </si>
  <si>
    <t>Owkin</t>
  </si>
  <si>
    <t>Developer of an artificial intelligence agent system intended to analyze biological patient data and to support drug discovery and clinical research. The company offers artificial intelligence research agents, biological data analysis tools, digital pathology diagnostics, drug discovery software, clinical research analytics, and biomedical knowledge agents, enabling pharmaceutical companies and researchers to analyze patient data, identify drug candidates, and support clinical trial development.</t>
  </si>
  <si>
    <t>Seedtag</t>
  </si>
  <si>
    <t>Developer of a digital media in-image advertising tool designed to turn advertising into a service for consumers. The company's tool permits brands to deliver messages associated with brand territories that were unreachable before by integrating advertising into editorial images that have been previously selected and analyzed, enabling clients, industry players, and corporates to ensure an increased return on marketing spending.</t>
  </si>
  <si>
    <t>Madrid, Spain</t>
  </si>
  <si>
    <t>Synack</t>
  </si>
  <si>
    <t>Developer of a crowdsourced security platform designed to deliver smart penetration testing to security teams. The company's platform leverages artificial intelligence-enabled technology to give customers access to human intelligence and machine intelligence, enabling security teams to get a scalable and efficient way to test their attack surfaces on a continuous cadence and get actionable results.</t>
  </si>
  <si>
    <t>Bizongo</t>
  </si>
  <si>
    <t>Developer of a vendor digitization platform designed to optimize supply chains for made-to-order products. The company's platform provides services including digital vendor management, supply chain automation, and supply chain financing, enabling businesses to address challenges like inventory stock out, excess inventory, and obsolescence, reduced operational overhead, cost savings, and easier contract management.</t>
  </si>
  <si>
    <t>OpenTrons</t>
  </si>
  <si>
    <t>Developer of open-source lab automation robots designed to automate research and development processes. The company's products include lab robots, workstations, hardware modules, consumables and reagents, and labware, among others, enabling businesses to automate experiments, share protocols, and minimize human error.</t>
  </si>
  <si>
    <t>Long Island City, NY</t>
  </si>
  <si>
    <t>Taxfix</t>
  </si>
  <si>
    <t>Developer of an online tax assistance application intended to simplify tax declarations. The company's application leverages a smart, dynamic questionnaire and machine learning technology to fully automate communication with the user and accommodate fiscal differences across countries for future internationalization, enabling customers to receive back the hard-earned tax refunds that they deserve.</t>
  </si>
  <si>
    <t>Swile</t>
  </si>
  <si>
    <t>Developer of a digital employee expenses management tool designed to improve employee engagement and employee benefits. The company's platform allow employers to streamline expense management and simplify employee benefit distribution and employees can access and manage their benefits electronically, enabling businesses to improve their overall financial well-being.</t>
  </si>
  <si>
    <t>Montpellier, France</t>
  </si>
  <si>
    <t>Torq</t>
  </si>
  <si>
    <t>Developer of a digital security-automation platform intended for threat-detection and response workflows. The company's platform supports no-code and low-code automation, integrates AI-led case investigation and real-time event enrichment, offers natural-language-triggered remediation and multi-vendor workflow orchestration, enabling security teams in enterprises and managed service providers to reduce response times, manage alert fatigue, and operate at scale.</t>
  </si>
  <si>
    <t>Swimlane</t>
  </si>
  <si>
    <t>Developer of a security operations automation and orchestration platform designed for simplifying and accelerating the management of cybersecurity threats. The company's platform integrates a private artificial intelligence companion to automate incident response, offers low-code visual tools for creating and customizing repeatable defense playbooks, and provides customizable case management with real-time dashboards and autonomous integrations for connecting disparate security tools, enabling security professionals to maximize operational efficiency and achieve quantifiable security outcomes.</t>
  </si>
  <si>
    <t>Genesis Therapeutics</t>
  </si>
  <si>
    <t>Developer of a computational platform designed for the discovery of small-molecule drugs. The company leverages a proprietary molecular artificial intelligence technology that drives the discovery and development of novel molecule drugs to treat patients suffering from severe and debilitating diseases, enabling the medical community to transform and optimize patient clinical outcomes.</t>
  </si>
  <si>
    <t>Burlingame, CA</t>
  </si>
  <si>
    <t>Anaconda</t>
  </si>
  <si>
    <t>Developer of a unified artificial intelligence(AI) platform designed to simplify, secure, and accelerate the use of open-source technologies. The company's platform offers trusted open-source distributions, real-time insights, and embedded governance features, enabling AI practitioners, developers, and enterprises to manage risk, enhance productivity, and scale AI initiatives with confidence.</t>
  </si>
  <si>
    <t>Fireworks AI</t>
  </si>
  <si>
    <t>Developer of a generative artificial intelligence platform designed to build and run AI agents and applications. The company's platform aims to run, fine-tune, and share large language models (LLMs) to solve product problems, deliver real-time performance with minimal latency, high throughput, and unmatched concurrency, enabling developers and businesses to scale at a faster rate through rapid product iteration building, as well as minimizing cost to serve.</t>
  </si>
  <si>
    <t>Iambic</t>
  </si>
  <si>
    <t>Developer of an artificial intelligence-driven platform designed to address the most challenging design problems in drug discovery, leveraging technology innovations. The company's engine combines artificial intelligence-driven technology and automated synthetic development to rapidly design small-molecule therapeutics, enabling physicians to get molecular predictions with transformative improvements in inaccuracy.</t>
  </si>
  <si>
    <t>Writer</t>
  </si>
  <si>
    <t>Developer of an integrated generative artificial intelligence platform designed to enhance business processes across various industries. The company's platform offers features such as customizable artificial intelligence applications for content generation, digital assistants, and data analysis, ensuring secure and compliant operations, enabling organizations to deploy tools rapidly, improving productivity, and fostering innovation in workflows.</t>
  </si>
  <si>
    <t>Marco</t>
  </si>
  <si>
    <t>Developer of a trade financing platform designed to improve cash flow by offering immediate payment to sellers and deferred payment options for buyers. The company's platform offers paperless financing services, with flexible terms to support different trade needs, enabling businesses to mitigate cash flow delays, reduce credit risk, and sustain growth.</t>
  </si>
  <si>
    <t>DeHaat</t>
  </si>
  <si>
    <t>Developer of agricultural technology designed to support the entire farming lifecycle from input selection to market access. The company's platform offers services such as soil analysis, agricultural input advisory, crop health monitoring, output management, farm intelligence, and financial services, enabling farmers and agricultural businesses to optimize productivity, make data-driven decisions, access quality inputs, receive expert guidance, and efficiently connect with markets for improved profitability and sustainability.</t>
  </si>
  <si>
    <t>Patna, India</t>
  </si>
  <si>
    <t>Starship</t>
  </si>
  <si>
    <t>Developer of self-driving robotic delivery vehicles designed to revolutionize food and package deliveries. The company's vehicles are a combination of mobile technology and autonomous robots and partner with stores and restaurants to make local delivery fast and cost-efficient, enabling consumers to send and receive products anytime and anywhere.</t>
  </si>
  <si>
    <t>Pilot</t>
  </si>
  <si>
    <t>Developer of artificial intelligence-based financial management software designed for bookkeeping, compliance, and operational oversight purposes. The company offers capabilities such as structured bookkeeping, tax preparation for federal and state requirements, support for R&amp;D tax credits, and outsourced CFO advisory, including budgeting, KPI tracking, and fundraising guidance, enabling businesses and startups to maintain accurate financial records, ensure regulatory adherence, and make informed decisions for growth and sustainability.</t>
  </si>
  <si>
    <t>Genesis (Financial Software)</t>
  </si>
  <si>
    <t>Developer of a capital markets software designed to innovate business and operating models. The company's platform focuses on the financial markets primarily the capital markets to help clients from the buy-side, sell-side, execution venues, and clearinghouses to address complex industry challenges by delivering real-time insights, enabling clients to optimize cost and relieving margin pressure by reimaging the business models.</t>
  </si>
  <si>
    <t>Uptake</t>
  </si>
  <si>
    <t>Developer of a predictive analytics platform designed to transform data into measurable business value. The company's platform collects and interprets sensor data and converts insights into action as well as integrates directly into the workflow, enabling clients to access actionable insights that make the industry reliable, productive, safe, and secure.</t>
  </si>
  <si>
    <t>Mojo Vision</t>
  </si>
  <si>
    <t>Developer of a micro-LED display and AI infrastructure technology designed to power next-generation augmented reality and high-speed data applications. The company offers ultra-compact displays, submicron micro emitters compatible with integration, enabling AR device makers and data center operators to achieve high brightness visuals, low power consumption, and scalable performance.</t>
  </si>
  <si>
    <t>Cupertino, CA</t>
  </si>
  <si>
    <t>Sesame AI</t>
  </si>
  <si>
    <t>Developer of an artificial intelligence-based voice assistant platform intended to design voice companions capable of holding natural conversations and devices that make them more effective. The company's platform offers AI glasses with quality audio facilities and convenient access to voice companions, enabling users to get an ever-present friend and conversationalist to keep them informed and organized.</t>
  </si>
  <si>
    <t>BostonGene</t>
  </si>
  <si>
    <t>Developer of a biomedical software designed for advanced patient analysis and personalized therapy. The company's software offers an artificial intelligence-powered molecular genetic and immune profiling platform to decode cancer patients' molecular profiles, including their immune system and tumor microenvironment, to uncover key disease drivers, identify novel drug targets, and recommend effective treatments, enabling clinicians to get precise, clinically validated insights that drive precision medicine and advance oncology research.</t>
  </si>
  <si>
    <t>Waltham, MA</t>
  </si>
  <si>
    <t>Mark43</t>
  </si>
  <si>
    <t>Developer of a public safety computer-aided platform designed to offer dispatch, analytics and property and evidence to support law enforcement. The company's platform allows officials to collect, manage, analyze, and share information, including findings, criminal profiles, and activity updates, enabling agencies to pinpoint dangerous crime hotspots, identify stabilized areas, and allocate resources effectively.</t>
  </si>
  <si>
    <t>Twin Health</t>
  </si>
  <si>
    <t>Developer of a precision health platform designed to measure and repair the damaged metabolism in diabetic patients. The company's platform uses artificial intelligence, the internet of things and digital technologies to understand metabolic dysfunction and measure, combines data, first-of-its-kind digital twin AI technology and insights from a clinical care team to develop a clear picture of each member's metabolism and repair the ones damaged which is the root cause of diabetes, enabling doctors to create a precision treatment for diabetic patients.</t>
  </si>
  <si>
    <t>EdgeMedical</t>
  </si>
  <si>
    <t>DDeveloper of surgical robotics designed to improve patient outcomes and hospital efficiency. The company's single-port surgical robots utilize medical engineering, medical imaging, robot kinematics, mechanical sensing, AI algorithms and user experience to assist in various processes, enabling hospitals to improve patient outcomes and contribute to improving social health.</t>
  </si>
  <si>
    <t>AI Bank</t>
  </si>
  <si>
    <t>Provider of banking and financial services intended for young people and small and micro enterprises. The company provides young people and small and micro enterprises with payment, financing, and wealth management services based on its excellent financial risk control capabilities and advanced technologies such as artificial intelligence, big data and cloud computing, enabling clients to enjoy a simple and reliable financial life.</t>
  </si>
  <si>
    <t>Shift Technology</t>
  </si>
  <si>
    <t>Developer of an artificial intelligence(AI)-powered underwriting platform designed to support claims handling, fraud detection, and compliance decision-making. The company's platform offers generative, agentic, and predictive AI capabilities for risk analysis, fraud investigation, payment review, and liability assessment, enabling insurers and insurance operations teams to improve accuracy, reduce financial leakage, and increase operational efficiency.</t>
  </si>
  <si>
    <t>Preferred Networks</t>
  </si>
  <si>
    <t>Developer of a decision intelligence platform designed to solve real-world challenges. The company's platform integrates deep learning, generative artificial intelligence models, and computing infrastructure for autonomous systems, robotics integration, and material simulation, enabling industries to enhance productivity, improve decision-making, and address complex problems with innovative methods and technologies.</t>
  </si>
  <si>
    <t>Cloudwise</t>
  </si>
  <si>
    <t>Developer of cloud-based IT operations and observability software designed to enhance enterprise system performance and digital infrastructure management. The company offers cloud monitoring tools, application performance management, log analytics, AIOps capabilities and an intelligent language model platform, enabling enterprises across industries to improve operational visibility, strengthen system reliability and optimise IT governance.</t>
  </si>
  <si>
    <t>METis TechBio</t>
  </si>
  <si>
    <t>Developer of an artificial intelligence platform designed to optimize pharmaceutical formulation processes. The company offers software that helps pharmaceutical companies accelerate the movement of new drugs in the pipeline by optimizing pre-clinical trial operations, enabling users to efficiently conduct research and design.</t>
  </si>
  <si>
    <t>Everlaw</t>
  </si>
  <si>
    <t>Developer of a cloud-based litigation platform designed to enhance the practice of law for corporate counsels, litigators, and government attorneys. The company's platform discovers, illuminates, and acts on information to drive internal investigations and positively impact the outcome of litigation that unlocks the collaborative power of teams, enabling law firms, corporations, and state, local, and federal government agencies to investigate issues thoroughly, uncover the truth quickly, and present their findings.</t>
  </si>
  <si>
    <t>Oakland, CA</t>
  </si>
  <si>
    <t>Settle (Financial Software)</t>
  </si>
  <si>
    <t>Developer of cash flow management software designed to automate business-to-business payments and provide working capital. The company's software offers features such as payment management, payable date management and extension, paperless invoices, auto payment, automated purchase orders, and proactive replenishment alerts to simplify procurement, inventory, AP automation, and financing, enabling companies to expedite billing cycles and scale efficiently while optimizing cash flow.</t>
  </si>
  <si>
    <t>WorkTrans</t>
  </si>
  <si>
    <t>Developer of a human resource management software designed to offer diversified attendance, mobile scheduling and unified management. The company's software helps in generating fast payroll, roster, recruitment and training around attendance, enabling companies to improve recruiting efficiency.</t>
  </si>
  <si>
    <t>Mech-Mind</t>
  </si>
  <si>
    <t>Developer of industrial 3D vision and AI robotics software, focusing on intelligent automation through advanced perception and decision-making technologies. The company specailises in 3D cameras, AI-powered bin picking systems, piece picking modules, robotic assembly tools, vision-guided robotics software, real-time control systems and adaptive learning algorithms, thereby enhancing agility, reliability, and efficiency in complex industrial automation tasks.</t>
  </si>
  <si>
    <t>Diffusely</t>
  </si>
  <si>
    <t>Developer of generative artificial intelligence technology designed for the creation of authentic visuals. The company leverages advanced AI models to generate diverse visual content, offering features such as customizable image generation, style adaptation, and seamless integration with creative workflows, enabling designers, marketers, and businesses to efficiently produce tailored visual assets for various digital applications while maintaining creative control and consistency.</t>
  </si>
  <si>
    <t>Framer</t>
  </si>
  <si>
    <t>Developer of interactive design software designed to make interactive prototypes. The company's software helps in the conception and sharing of interactive design projects and provides a seamless static-to-motion workflow, further complemented by live device previewing and version control, enabling clients to turn static mockups into interactive prototypes and to experiment quickly with animations and interactions.</t>
  </si>
  <si>
    <t>Amsterdam, Netherlands</t>
  </si>
  <si>
    <t>Syntiant</t>
  </si>
  <si>
    <t>Developer of neuromorphic semiconductors designed to move artificial intelligence and machine learning from the cloud to edge devices. The company's semiconductor produces neural network processors for always-on applications in battery-powered devices, ranging from hearing aids to smart speakers and mobile phones, enabling businesses to develop artificial intelligence technology for the sensor, voice, and video applications in any battery-powered product.</t>
  </si>
  <si>
    <t>Shukun</t>
  </si>
  <si>
    <t>Developer of artificial intelligence medical diagnosis technology intended to assist doctors in diagnosing cardiovascular diseases and tumors. The company uses deep learning algorithms to intelligently analyze medical images, automatically identify lesions and generate reports, enabling doctors to increase their work efficiency of diagnosis process.</t>
  </si>
  <si>
    <t>Choco</t>
  </si>
  <si>
    <t>Developer of a digital order management platform intended to automate the food supply chain for distributors. The company offers features such as real-time order processing, integration with existing ERP systems, and an artificial intelligence-driven marketing assistant, enabling food distributors to streamline operations, reduce manual errors, enhance customer engagement, and ultimately improve sales while minimizing food waste through efficient inventory management.</t>
  </si>
  <si>
    <t>Neuron23</t>
  </si>
  <si>
    <t>Developer of an artificial intelligence-based drug discovery model designed for genetically defined neurological and immunological diseases. The company's platform leverages recent advances in human genetics, combined with its state-of-the-art artificial intelligence (AI)-enabled drug discovery and biomarker platforms, to advance therapeutics for devastating diseases, enabling patients suffering from genetic disorders with customized medicines.</t>
  </si>
  <si>
    <t>Ontra</t>
  </si>
  <si>
    <t>Developer of an online legal management platform intended to automate and enhance high-volume legal processes easily. The company's platform combines corporate attorneys with cloud-based software to offer a scalable, end-to-end service for negotiating and managing routine legal work, enabling clients to effectively free up resources, improve the quality of output, and achieve substantial cost savings.</t>
  </si>
  <si>
    <t>Concord, CA</t>
  </si>
  <si>
    <t>Matillion</t>
  </si>
  <si>
    <t>Developer of cloud-based data integration platform designed to help customers extract, load, and transform data into and on cloud-based data warehouses. The company's platform leverages cloud data warehouses to consolidate large data sets and perform the necessary data transformations that make the data analytics-ready, enabling customers to extract data from a vast number of sources and transform it into ready-to-use cases.</t>
  </si>
  <si>
    <t>Salford, United Kingdom</t>
  </si>
  <si>
    <t>Enigma (Business/Productivity Software)</t>
  </si>
  <si>
    <t>Developer of a comprehensive intelligence platform designed for the identity and financial health of every small and medium-sized business across the United States. The company's platform transforms disparate, tabular data into representations of real-world relationships and connects and enriches clients' internal data assets to modify their strategies and workflows, enabling businesses to remain informed and have an improved daily decision-making process.</t>
  </si>
  <si>
    <t>Zeitview</t>
  </si>
  <si>
    <t>Developer of an inspection software designed to analyze and help improve asset performance and longevity. The company's software monitors the progress of a construction project, analyzes the condition of rooftops by inspecting a set of wind turbines, and maintains the health of a solar facility through artificial intelligence and machine learning technology, enabling the energy and infrastructure sector to make better-informed, near real-time decisions about assets at scale.</t>
  </si>
  <si>
    <t>Dexterity</t>
  </si>
  <si>
    <t>Developer of an artificial intelligence-powered robotic technology designed to build robots with human-like dexterity. The company's technology platform encompasses artificial intelligence, software, and hardware, applying an innovative approach to achieve exceptional productivity, precision, and safety standards in industrial environments, enabling clients to have improved human potential by delegating repetition to robots.</t>
  </si>
  <si>
    <t>May Mobility</t>
  </si>
  <si>
    <t>Developer of an autonomous technology intended to offer accessible self-driving transportation. The company's technology studies the city's traffic and commuter flow and provides daily transit by deploying autonomous shuttles to reduce human error in driving, decrease pollution, and create greater economic benefits for communities and riders, enabling transportation companies to design the optimal routes for communities as well as offer a fleet operation service.</t>
  </si>
  <si>
    <t>Ann Arbor, MI</t>
  </si>
  <si>
    <t>Saama Analytics</t>
  </si>
  <si>
    <t>Developer of an enterprise platform designed to assist medical companies in assessing business risk decisions. The company's platform offers data analytics services powered by big data, cloud, and AI and ML aptitudes, enabling customers in life sciences, insurance, CPG, and other industries to see around corners while making confident business decisions for efficient business outcomes.</t>
  </si>
  <si>
    <t>Positron</t>
  </si>
  <si>
    <t>Developer of custom hardware designed to accelerate machine learning applications, focusing on end-to-end appliances for generative artificial intelligence models. The company specializes in building next-generation hardware and software appliances that deliver vendor freedom and better inference for enterprises and research teams, enabling clients to access improved hardware models to integrate into their systems.</t>
  </si>
  <si>
    <t>Reno, NV</t>
  </si>
  <si>
    <t>Arbor Biotechnologies</t>
  </si>
  <si>
    <t>Developer of genomic tools designed to improve human health and sustainability. The company's tools use AI and machine learning to aggregate genomic sequence data to improve and streamline future cycles of curative treatments for previously incurable genetic diseases, enabling drug developers to replace whole genes and to precisely correct mutations to treat all patients with genetic diseases.</t>
  </si>
  <si>
    <t>Doc.com</t>
  </si>
  <si>
    <t>Developer of healthcare technology designed to connect patients with the required healthcare assistance. The company provides free basic healthcare services through an application. It monetizes pharmaceuticals, medical billing, and advertisements, and utilizes blockchain for transparency and AI for consultation assistance and user support, enabling patients to receive the required assistance as needed.</t>
  </si>
  <si>
    <t>Beam Benefits</t>
  </si>
  <si>
    <t>Provider of dental insurance-related services intended for digitally tracking dental hygiene data. The company focuses on ease-of-use and tailored pricing that is fundamentally built on preventive care, and also incorporates rewards for dental hygiene into policy pricing by tying brushing data offered to dental insurance premium pricing, enabling users to determine dental coverage easily.</t>
  </si>
  <si>
    <t>FloQast</t>
  </si>
  <si>
    <t>Developer of a cloud-based accounting transformation platform designed to simplify monthly financial close with a centralized checklist and automated tie-outs. The company's platform integrates with existing systems and checklists, to work the way a team does with increased visibility and centralization for every month-end close, enabling accountants to organize and automate their workflow processes.</t>
  </si>
  <si>
    <t>CleverTap</t>
  </si>
  <si>
    <t>Developer of an engagement platform intended to unlock limitless customer lifetime value. The company's platform offers user behavior analytics, audience segmentation tools, automated messaging workflows, cross-channel campaign management, and data integration capabilities, enabling digital businesses and application developers to understand user activity, deliver targeted messages, and manage ongoing customer interactions across mobile applications and websites.</t>
  </si>
  <si>
    <t>Mythic</t>
  </si>
  <si>
    <t>Developer of integrated circuit technology designed to offer desktop-grade graphics processing units in a chip. The company's technology utilizes artificial intelligence to offer hybrid digital and analog calculations inside flash arrays without compromising performance, power life, and accuracy, helping firms with consumer electronics, wearables, and security, as well as monitoring manufacturers to deliver availability, responsiveness, and privacy.</t>
  </si>
  <si>
    <t>Odeko</t>
  </si>
  <si>
    <t>Developer of an ordering and supply chain management software designed to assist cafes in reducing waste and increasing sales. The company's tool analyzes sales data and identifies trends to create an automatic ordering model using data and artificial intelligence, enabling businesses to automate operations and increase their productivity.</t>
  </si>
  <si>
    <t>Stage X</t>
  </si>
  <si>
    <t>Operator of a mobile virtual network is designed for the purpose of providing affordable telecom services. The company's network leverages cloud and artificial intelligence technologies to run the entire core network, enabling consumers to enjoy cheaper services while generating bigger profits</t>
  </si>
  <si>
    <t>CertiK</t>
  </si>
  <si>
    <t>Developer of a blockchain security platform designed to protect and monitor blockchain protocols and smart contracts. The company's platform utilizes artificial intelligence and leverages on-chain and off-chain data in blockchain security, including social sentiment, privileged governance controls, market volatility, and suspicious transactions, enabling developers with real-time insights into the security of decentralized finance and other mission-critical applications to scale with safety and correctness.</t>
  </si>
  <si>
    <t>Capwave AI</t>
  </si>
  <si>
    <t>Developer of an AI-driven platform designed to streamline the capital-raising process for founders and investors. The company offers tools for refining fundraising materials, personalized playbooks and investor CRM features to help founders craft winning pitches, connect with the right investors and fundraise with confidence, enabling founders to raise capital efficiently and investors to access pre-qualified opportunities tailored to their portfolios.</t>
  </si>
  <si>
    <t>Periodic Labs</t>
  </si>
  <si>
    <t>Operator of an AI-driven scientific research platform intended to create autonomous AI scientists and laboratories. The company develops systems that generate new scientific knowledge by conducting physical experiments, producing high-quality data, and validating ideas against reality, enabling industries to discover materials, such as high-temperature superconductors, improved chip designs, and other breakthroughs in the physical sciences that can accelerate technological progress.</t>
  </si>
  <si>
    <t>Upscale AI</t>
  </si>
  <si>
    <t>Developer of an artificial intelligence networking company designed to optimize, secure, and automate enterprise network infrastructure. The company delivers products that address the increasing complexity and demands of modern digital networks, ensuring high performance, resilience, and adaptability, future-proof network operations, and accelerating digital transformation through intelligent automation and robust security, enabling organizations to optimize, secure, and automate their network infrastructure.</t>
  </si>
  <si>
    <t>Vyripharm</t>
  </si>
  <si>
    <t>Developer of a biopharmaceutical innovator intended to focus on integrating traditional and alternative medicine. The company develops drugs to target cancer, drug addiction, and metabolic diseases and aims in improving clinical management through diagnosis and treatment with botanicals, synthetic pharmaceuticals, and drug delivery systems, enabling patients to cure infectious diseases, neurological disorders, and cancer.</t>
  </si>
  <si>
    <t>VorpenX</t>
  </si>
  <si>
    <t>Developer of an AI platform designed to improve trading opportunities and returns. The company's platform facilitates crypto arbitrage trading opportunities by leveraging advanced algorithms to deliver real-time data information and execute trades with speed and precision, enabling traders to mitigate risk, anticipate market movements, and improve trading experience.</t>
  </si>
  <si>
    <t>Vilnius, Lithuania</t>
  </si>
  <si>
    <t>Flo Health</t>
  </si>
  <si>
    <t>Developer of an artificial intelligence-driven women's health application designed to assist girls and women to track their period cycle. The company's application uses data science and AI to deliver a curated cycle and ovulation tracking system and supports women during their entire reproductive lives with personalized health insights, expert tips, safety, and a private community, enabling women to share their questions and concerns within a fully closed community.</t>
  </si>
  <si>
    <t>Hyperscience</t>
  </si>
  <si>
    <t>Developer of artificial intelligence-based enterprise software designed to reduce monotonous manual entry and automate office work. The company's software employs machine learning to process structured and semi-structured documents, automate data entry, extract key details from invoices and reconcile compliance-driven data, enabling businesses to streamline complex processes automatically and increase productivity.</t>
  </si>
  <si>
    <t>Singlera Genomics</t>
  </si>
  <si>
    <t>Developer of molecular diagnostic solutions intended to detect genetic diseases and tumors. The company's molecular diagnostic solutions use methylation detection technology, including single-cell sequencing, DNA methylation and machine learning, to address the continuing needs for early-stage cancer detection, personalized cancer treatment, prenatal diagnosis and pre-implantation genetic screening, enabling faster and more accurate diagnosis of diseases and conditions.</t>
  </si>
  <si>
    <t>Yangzhou, China</t>
  </si>
  <si>
    <t>GAIN Credit</t>
  </si>
  <si>
    <t>Developer of a financial transaction platform designed to offer loan products. The company's platform leverages deep alternative lending domain experience across analytics, platform development, marketing, and customer experience to create compelling value propositions, enabling customers who aren't served by mainstream financial services to get responsible access to credit.</t>
  </si>
  <si>
    <t>Mixpanel</t>
  </si>
  <si>
    <t>Developer of an API-based analytics platform designed to deeply understand every user's journey with instant insights for everyone on mobile and web. The company's API-based analytics platform offers an analytic service that aids in understanding how users interact with web applications, enabling businesses to avail of complex behavioral analysis.</t>
  </si>
  <si>
    <t>Novo</t>
  </si>
  <si>
    <t>Developer of a banking platform designed to provide business deposit accounts to small businesses. The company's platform uses artificial intelligence technology with traditional depository accounts to offer a personalized banking experience powered by a network of FDIC-insured community banks, enabling small business owners, freelancers, and entrepreneurs to manage their business finances and checking accounts all in one place.</t>
  </si>
  <si>
    <t>Liquid AI</t>
  </si>
  <si>
    <t>Developer of an artificial intelligence tool designed to solve problems at every scale of enterprises. The company builds general-purpose AI systems that consume less computational power and memory when generating text and can be implemented and operated on small computers and edge devices, providing users with highly adaptable machine learning with minimal processing power.</t>
  </si>
  <si>
    <t>X Square Robot</t>
  </si>
  <si>
    <t>Developer of foundation model designed designed for general-purpose robots. The company offers sensing and movement systems for robots and combines large manipulation model, multimodal large language model and robotics, thereby enabling clients with foundation model for robots.</t>
  </si>
  <si>
    <t>Kore.ai</t>
  </si>
  <si>
    <t>Developer of an optimization platform designed to help organizations design, develop, test, and manage chatbots for internal or customer-facing business scenarios. The company's platform helps to deploy one or more of a range of communication channels, including messaging and collaboration services, enabling clients to improve digital customer interactions, business processes, and employee work through conversational interfaces.</t>
  </si>
  <si>
    <t>Orlando, FL</t>
  </si>
  <si>
    <t>Behavox</t>
  </si>
  <si>
    <t>Developer of AI-based enterprise surveillance software designed for compliance and operational risk management. The company's platform processes structured and unstructured data using proprietary language models to monitor communications, identify behavioral anomalies, archive records securely, and generate actionable insights across departments, enabling financial institutions and other regulated organizations to manage compliance obligations, prevent breaches, and improve operational transparency.</t>
  </si>
  <si>
    <t>Harmonic (Software Development Applications)</t>
  </si>
  <si>
    <t>Developer of a mathematical reasoning engine designed to explore the frontiers of human understanding. The company's application uses artificial intelligence that provides verifiably correct and interpretable outputs and accelerates the advent of verified software synthesis in safety-critical domains, enabling humans to solve open problems in mathematics, science, and beyond.</t>
  </si>
  <si>
    <t>Immunai</t>
  </si>
  <si>
    <t>Developer of a bioinformatics platform designed to enhance our ability to understand complex diseases and develop targeted therapies effectively. The company's platform utilizes artificial intelligence to analyze large-scale biological datasets and predict treatment outcomes, enabling healthcare researchers to optimize drug discovery and development processes.</t>
  </si>
  <si>
    <t>Rec Room</t>
  </si>
  <si>
    <t>Developer of a gaming platform designed to build a global community to play and create games. The company's application permits to play within a virtual sports environment while chatting with others in the same virtual space, enabling players from all around the world to chat, meet, and socialize with each other through the medium of virtual reality.</t>
  </si>
  <si>
    <t>restor3d</t>
  </si>
  <si>
    <t>Developer of 3D-printed implants technology designed to repair and reconstruct the human body. The company's technology combines the benefits of 3D printing, AI, biomaterials, biomechanics, and personalized digital health platforms and offers patient-specific implant systems for total ankle and shoulder replacements, enabling surgeons to improve human parts replacement services to fit the unique anatomy and pathology of individual patients.</t>
  </si>
  <si>
    <t>Instabase</t>
  </si>
  <si>
    <t>Developer of an AI-based enterprise automation platform intended for processing unstructured data. The company's platform uses machine learning to extract and structure information from documents and other content, supports low-code workflow automation, integrates with existing systems, and includes enterprise security and governance features, enabling organizations to reduce manual processing and scale complex operational workflows.</t>
  </si>
  <si>
    <t>Enfabrica</t>
  </si>
  <si>
    <t>Developer of converged networking and memory fabric silicon and software designed for the performance and scalability demands of artificial intelligence and accelerated computing workloads. The company's technologies and products are designed to enable system efficiencies, topologies, and performance across hyper-scale cloud, edge, enterprise, and automotive infrastructure, utilizing new technologies such as Compute Express Link, enabling businesses to access multiple graphics processing units and chips for solving critical interconnect bottlenecks in computing workloads.</t>
  </si>
  <si>
    <t>PayCargo</t>
  </si>
  <si>
    <t>Developer of a commercial payments platform designed to make freight payments fast, easy, and secure. The company's platform offers electronic tools for online payables, automated payments, online receivables, managing invoices, and other related services, enabling businesses to streamline the cargo release process by offering credit card and finance options for quick cargo releases.</t>
  </si>
  <si>
    <t>Coral Gables, FL</t>
  </si>
  <si>
    <t>Soley Therapeutics</t>
  </si>
  <si>
    <t>Operator of a drug discovery platform intended to accelerate the development of therapies for complex diseases. The company offers an automated image-based technology using AI and machine learning to interpret cellular responses to compounds, enabling pharmaceutical and biotechnology researchers to identify drug candidates and improve decision-making across development programs.</t>
  </si>
  <si>
    <t>XPANCEO</t>
  </si>
  <si>
    <t>Developer of a smart contact lens designed to serve as an interface for AI-powered XR computing. The company builds an invisible and weightless lens that enables use cases such as social media, immersive content consumption, gaming, and real-time health monitoring with practical recommendations, allowing individuals to use enhanced vision features like night vision and zoom, and advanced privacy and security controls, transforming everyday into an infinite XR experience.</t>
  </si>
  <si>
    <t>Dubai, United Arab Emirates</t>
  </si>
  <si>
    <t>Viz.ai</t>
  </si>
  <si>
    <t>Developer of an intelligent care coordination platform designed to fundamentally improve how healthcare is delivered in the world. The company's platform leverages advanced deep learning to communicate time-sensitive information about stroke patients straight to a specialist for treatment, enabling healthcare providers to reduce the time of treatment and improve access to care.</t>
  </si>
  <si>
    <t>ChapsVision</t>
  </si>
  <si>
    <t>Developer of a data analysis platform designed to solve complex business problems through a fully integrated analytical infrastructure. The company's platform offers specific sectors with intelligence, investigation, and analysis tools that combine data from different sources in a unified workspace, enabling businesses and government organizations to optimize digital transformation.</t>
  </si>
  <si>
    <t>Suresnes, France</t>
  </si>
  <si>
    <t>Iru</t>
  </si>
  <si>
    <t>Developer of an AI-powered security and IT management platform designed to help organizations protect their users, applications, and devices. The company offers unified identity and access management, cross-platform endpoint protection and compliance automation, enabling enterprises to streamline IT operations, strengthen security posture, and maintain regulatory compliance across digital environments.</t>
  </si>
  <si>
    <t>KargoBot</t>
  </si>
  <si>
    <t>Developer and provider of self-driving truck service intended to serve the autopilot industry. The company is mainly focused on the research and development of high-performance autonomous driving domain controllers, accelerating the large-scale unmanned commercialization of Carl Power's intelligent fleeting system in the field of trunk logistics.</t>
  </si>
  <si>
    <t>Tianjin, China</t>
  </si>
  <si>
    <t>Wonderful</t>
  </si>
  <si>
    <t>Developer of an AI-based software platform designed to automate and manage digital advertising campaigns. The company offers tools that analyze campaign performance data and automatically adjust advertising parameters such as bidding, targeting, and budget allocation, enabling businesses to manage and optimize online marketing campaigns across advertising channels.</t>
  </si>
  <si>
    <t>SurroMind</t>
  </si>
  <si>
    <t>Developer of artificial intelligence technologies designed to optimize corporate data analysis and development of AI-powered applications. The company offers customizable AI models, MLOps platforms, and robotic systems, enabling businesses to improve operational efficiency and automate tasks across various industries.</t>
  </si>
  <si>
    <t>Leverage Edu</t>
  </si>
  <si>
    <t>Operator of an education and career mobility platform designed to support international study and employment opportunities. The company's platform offers university program discovery tools, application assistance, document verification, visa support, financing guidance, housing access, and artificial intelligence-based academic coaching, enabling students and professionals to pursue education and careers across global institutions and employers.</t>
  </si>
  <si>
    <t>New Delhi, India</t>
  </si>
  <si>
    <t>Shop Circle</t>
  </si>
  <si>
    <t>Developer of an artificial intelligence-powered global technology company intended to specialize in the development, acquisition, and scaling of innovative business-to-business software products. The company's platform empowers businesses to streamline operations, enhance efficiency, and accelerate growth, enabling online businesses to drive growth and deliver impactful digital experiences.</t>
  </si>
  <si>
    <t>Pixellot</t>
  </si>
  <si>
    <t>Developer of broadcast video capture and production devices designed to automate live coverage of events. The company deploys a multi-camera system that captures an entire scene and automates video production without manned cameras, enabling sports teams, leagues, and educational institutions to broadcast sporting events.</t>
  </si>
  <si>
    <t>Petah Tikva, Israel</t>
  </si>
  <si>
    <t>AppZen</t>
  </si>
  <si>
    <t>Developer of an autonomous and compliance management intended to help finance teams scale with autonomous processing, saving money and reducing risk while boosting growth. The company's platform combines patented deep learning, computer vision, and semantic analysis with intelligence from thousands of online data sources to understand financial transactions in a business context and make decisions before those transactions happen, enabling clients to reduce spending, comply with the policy, and streamline the process.</t>
  </si>
  <si>
    <t>Cresta</t>
  </si>
  <si>
    <t>Developer of a customer experience platform designed to scale and improve the quality of customer service. The company's platform surfaces the right information at the right time from sales agents and augments the rest of the team by increasing their conversion rate and efficiency, enabling businesses to double the productivity of their sales and service team.</t>
  </si>
  <si>
    <t>Dexory</t>
  </si>
  <si>
    <t>Developer of autonomous robots designed for warehouse data automation. The company offers autonomous, mobile, and modular robots that measure, track, and find goods across warehouses without workflow disruption and provide real-time data at every stage of the process, enabling clients to reduce costs and save time and resources lost to locating missing goods.</t>
  </si>
  <si>
    <t>Oxfordshire, United Kingdom</t>
  </si>
  <si>
    <t>MindTickle</t>
  </si>
  <si>
    <t>Developer of a data-driven sales readiness platform designed to improve business impact across pre-and post-sales teams. The company's platform facilitates automated training paths, adaptive learning, and virtual coaching tools and helps to track onboarding progress with certifications, enabling enterprises to assess, diagnose, and develop the knowledge, skills, and behaviors required to effectively engage customers and drive growth.</t>
  </si>
  <si>
    <t>Paradigm Health (Healthcare Technology Systems)</t>
  </si>
  <si>
    <t>Operator of a health technology platform intended to serve the clinical research ecosystem. The company's platform aims to streamline the clinical trial process for patients and connect biopharmaceutical trial sponsors and healthcare providers, enabling the healthcare sector to enhance trial efficiency, reduce the barriers to participation for healthcare providers, and bring potentially life-saving therapies to patients faster.</t>
  </si>
  <si>
    <t>Xsight Labs</t>
  </si>
  <si>
    <t>Developer of chipset semiconductors designed to accelerate data-intensive workloads. The company's products offer fully programmable data center switches that deliver application-optimized switching for top-of-rack and data center fabric, enabling server farm operators, cloud service providers, and hyper scalers to achieve optimized latency and power efficiency.</t>
  </si>
  <si>
    <t>Kiryat Gat, Israel</t>
  </si>
  <si>
    <t>Kandou AI</t>
  </si>
  <si>
    <t>Operator of a semiconductor hardware company intended to support the development of scalable and energy-efficient AI systems. The company applies silicon-proven wired copper multiple-input multiple-output interconnect technology that increases bit rate and link reach while reducing power use, and uses chiplet-based AI fabric methods to improve communication between chips within electronic systems, enabling clients to access compute capacity in a compact, low-cost, and low-energy format.</t>
  </si>
  <si>
    <t>Saint-Sulpice, Switzerland</t>
  </si>
  <si>
    <t>Prove Identity</t>
  </si>
  <si>
    <t>Developer of an identity-verification software designed to protect against identity theft and social engineering attacks from professional attackers. The company's software removes friction, drives engagement, and fights fraud with instant mobile authentication, enabling clients to improve the customer experience while reducing friction and fraud risk.</t>
  </si>
  <si>
    <t>Aqara</t>
  </si>
  <si>
    <t>Developer of smart home appliances and IoT solutions designed for both consumers and industrial use. The company's smart home appliances improve their customers daily lives by simplifying menial tasks through their wide range of products that use their AI and data analysis system which can be customized in a variety of ways to support your lifestyle needs.</t>
  </si>
  <si>
    <t>QuEra Computing</t>
  </si>
  <si>
    <t>Developer of neutral-atom-based quantum computers designed to solve existing computational problems. The company's computers simulate complex systems, fundamental particle interactions, advanced materials, and chemical compounds as well as enhance machine learning algorithms and data processing algorithms, enabling researchers to make scientific discoveries across disciplines like physics, materials science, and chemistry.</t>
  </si>
  <si>
    <t>Aerodyne</t>
  </si>
  <si>
    <t>Developer of drone technology, data technology, and digital transformation designed for large-scale data operations, analytics, and process optimization. The company's technology provides inspection and data collection services for various industries, and transmission tower inspection, wind turbines, solar farms, and other critical infrastructures, enabling businesses to improve efficiency, safety, and regulatory compliance through automated data collection and analysis.</t>
  </si>
  <si>
    <t>Cyberjaya, Malaysia</t>
  </si>
  <si>
    <t>Vendr</t>
  </si>
  <si>
    <t>Developer of an online procurement platform designed to help companies purchase and renew SaaS without friction and at a fair price. The company's platform facilitates services such as commercial negotiations, renewal management, and contract logistics and provides data-backed information from transactions, enabling clients to reduce their software expenses.</t>
  </si>
  <si>
    <t>Holidu</t>
  </si>
  <si>
    <t>Developer of a travel search engine platform designed to make booking and hosting of holiday home rentals easy. The company's platform integrates a search engine tool that simplifies the process of finding and booking holiday homes based on one's taste and preference, budget, and timing of the visit as well as uses image recognition technology to identify the lowest price for each property in selected budget ranges, accommodation types and amenities required, enabling travelers find vacation rentals at a suitable price.</t>
  </si>
  <si>
    <t>Gatik</t>
  </si>
  <si>
    <t>Developer of autonomous vehicle software designed for supply chain logistics and to power the next generation of self-driving commercial fleets. The company's artificial intelligence-based software is developed for SAE (Society of Automotive Engineers) Level autonomous commercial trucks and vans for middle-mile logistics, enabling businesses to fulfill scheduled deliveries.</t>
  </si>
  <si>
    <t>Movius</t>
  </si>
  <si>
    <t>Developer of a cloud-based secure mobile communication software designed to help enterprises deliver updated engagement for their clients. The company's software addresses the needs for corporate compliance while enhancing productivity, enabling businesses and end-users to organize and analyze their enterprise mobile communications experience through separate work mobile phone lines on any device.</t>
  </si>
  <si>
    <t>Scandit</t>
  </si>
  <si>
    <t>Developer of a barcode scanning technology platform designed to provide mobile computer vision and augmented reality solutions for enterprises. The company's platform is built on computer vision, augmented reality, and machine learning technologies, and allows smart devices, such as smartphones, drones, digital eyewear, and robots to interact with physical items by capturing data from barcodes, text, IDs, and objects, enabling clients to have cost-effective retail automation that delivers significant cost savings, increases employee retention, and customer loyalty.</t>
  </si>
  <si>
    <t>Zurich, Switzerland</t>
  </si>
  <si>
    <t>Tulip Interfaces</t>
  </si>
  <si>
    <t>Developer of a data analytics and insights platform designed to transform factories by managing and visualizing global operations digitally. The company's platform helps firms of all sizes and across industries to provide edge connectivity to digitally transform processes, guide operators, track production, and gain a real-time, holistic view of operations, enabling businesses around the world to equip their workforce with connected applications that lead to quality work, improved efficiency, and end-to-end traceability across operations.</t>
  </si>
  <si>
    <t>ZeroHash</t>
  </si>
  <si>
    <t>Developer of a crypto and stablecoin infrastructure platform designed to allow any platform to integrate digital assets natively into its own customer experience. The company's platform handles the entire back-end complexity and regulatory licensing required to offer digital asset products, enabling clients to get secure custody of both fiat and digital assets through its wide banking network and encryption and private key storage infrastructure.</t>
  </si>
  <si>
    <t>Vertical Applications</t>
  </si>
  <si>
    <t>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</si>
</sst>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0.00;[Red]\(#,##0.00\)"/>
    <numFmt numFmtId="166" formatCode="#,##0.00&quot;%&quot;;[Red]\-#,##0.00&quot;%&quot;"/>
    <numFmt numFmtId="167" formatCode="0000"/>
  </numFmts>
  <fonts count="12" x14ac:knownFonts="1">
    <font>
      <sz val="11"/>
      <color theme="1"/>
      <name val="Calibri"/>
      <family val="2"/>
      <scheme val="minor"/>
    </font>
    <font>
      <sz val="8"/>
      <color rgb="FF000000"/>
      <name val="Open Sans"/>
      <family val="2"/>
    </font>
    <font>
      <b/>
      <sz val="8"/>
      <color rgb="FF000000"/>
      <name val="Open Sans"/>
      <family val="2"/>
    </font>
    <font>
      <b/>
      <sz val="16"/>
      <color rgb="FF000000"/>
      <name val="Open Sans"/>
      <family val="2"/>
    </font>
    <font>
      <b/>
      <sz val="8"/>
      <color rgb="FFFFFFFF"/>
      <name val="Open Sans"/>
      <family val="2"/>
    </font>
    <font>
      <sz val="8"/>
      <color rgb="FF000000"/>
      <name val="Open Sans"/>
      <family val="2"/>
    </font>
    <font>
      <sz val="8"/>
      <color rgb="FF26649E"/>
      <name val="Open Sans"/>
      <family val="2"/>
    </font>
    <font>
      <b/>
      <sz val="8"/>
      <color rgb="FF000000"/>
      <name val="Open Sans"/>
      <family val="2"/>
    </font>
    <font>
      <b/>
      <sz val="8"/>
      <color rgb="FF26649E"/>
      <name val="Open Sans"/>
      <family val="2"/>
    </font>
    <font>
      <b/>
      <sz val="14"/>
      <color rgb="FF000000"/>
      <name val="Open Sans"/>
      <family val="2"/>
    </font>
    <font>
      <i/>
      <sz val="10"/>
      <color rgb="FF000000"/>
      <name val="Open Sans"/>
      <family val="2"/>
    </font>
    <font>
      <i/>
      <sz val="10"/>
      <color rgb="FF26649E"/>
      <name val="Open Sans"/>
      <family val="2"/>
    </font>
  </fonts>
  <fills count="6">
    <fill>
      <patternFill patternType="none"/>
    </fill>
    <fill>
      <patternFill patternType="gray125"/>
    </fill>
    <fill>
      <patternFill patternType="solid">
        <fgColor rgb="FF051C38"/>
        <bgColor rgb="FF051C38"/>
      </patternFill>
    </fill>
    <fill>
      <patternFill patternType="solid">
        <fgColor rgb="FFF8F5EF"/>
      </patternFill>
    </fill>
    <fill>
      <patternFill patternType="solid">
        <fgColor rgb="FFF0EBDE"/>
      </patternFill>
    </fill>
    <fill>
      <patternFill patternType="solid">
        <fgColor rgb="FFFFFFFF"/>
      </patternFill>
    </fill>
  </fills>
  <borders count="4">
    <border>
      <left/>
      <right/>
      <top/>
      <bottom/>
      <diagonal/>
    </border>
    <border>
      <left/>
      <right style="thin">
        <color rgb="FFD3D3D3"/>
      </right>
      <top/>
      <bottom/>
      <diagonal/>
    </border>
    <border>
      <left/>
      <right style="thin">
        <color rgb="FFD3D3D3"/>
      </right>
      <top/>
      <bottom/>
      <diagonal/>
    </border>
    <border>
      <left/>
      <right style="thin">
        <color rgb="FFD3D3D3"/>
      </right>
      <top style="thin">
        <color rgb="FF78766F"/>
      </top>
      <bottom/>
      <diagonal/>
    </border>
  </borders>
  <cellStyleXfs count="24">
    <xf numFmtId="0" fontId="0" fillId="0" borderId="0"/>
    <xf numFmtId="0" fontId="1" fillId="0" borderId="0">
      <alignment horizontal="right" vertical="center"/>
    </xf>
    <xf numFmtId="0" fontId="2" fillId="0" borderId="0">
      <alignment horizontal="left" vertical="center"/>
    </xf>
    <xf numFmtId="0" fontId="1" fillId="0" borderId="0">
      <alignment horizontal="right" vertical="top"/>
    </xf>
    <xf numFmtId="0" fontId="2" fillId="0" borderId="0">
      <alignment horizontal="left" vertical="top" wrapText="1"/>
    </xf>
    <xf numFmtId="0" fontId="3" fillId="0" borderId="0">
      <alignment horizontal="left" vertical="center"/>
    </xf>
    <xf numFmtId="0" fontId="4" fillId="0" borderId="0">
      <alignment horizontal="center" vertical="center" wrapText="1"/>
    </xf>
    <xf numFmtId="0" fontId="1" fillId="0" borderId="1">
      <alignment horizontal="left" vertical="center" indent="1"/>
    </xf>
    <xf numFmtId="0" fontId="1" fillId="3" borderId="1">
      <alignment horizontal="left" vertical="center" indent="1"/>
    </xf>
    <xf numFmtId="0" fontId="1" fillId="0" borderId="1">
      <alignment horizontal="right" vertical="center" indent="1"/>
    </xf>
    <xf numFmtId="0" fontId="1" fillId="3" borderId="1">
      <alignment horizontal="right" vertical="center" indent="1"/>
    </xf>
    <xf numFmtId="0" fontId="1" fillId="0" borderId="1">
      <alignment horizontal="center" vertical="center"/>
    </xf>
    <xf numFmtId="0" fontId="5" fillId="3" borderId="1">
      <alignment horizontal="center" vertical="center"/>
    </xf>
    <xf numFmtId="0" fontId="6" fillId="0" borderId="1">
      <alignment horizontal="left" vertical="center" indent="1"/>
    </xf>
    <xf numFmtId="0" fontId="6" fillId="3" borderId="1">
      <alignment horizontal="left" vertical="center" indent="1"/>
    </xf>
    <xf numFmtId="0" fontId="6" fillId="0" borderId="1">
      <alignment horizontal="right" vertical="center" indent="1"/>
    </xf>
    <xf numFmtId="0" fontId="6" fillId="3" borderId="2">
      <alignment horizontal="right" vertical="center" indent="1"/>
    </xf>
    <xf numFmtId="0" fontId="7" fillId="4" borderId="3">
      <alignment horizontal="left" vertical="center" indent="1"/>
    </xf>
    <xf numFmtId="0" fontId="8" fillId="4" borderId="3">
      <alignment horizontal="left" vertical="center" indent="1"/>
    </xf>
    <xf numFmtId="0" fontId="5" fillId="0" borderId="0">
      <alignment horizontal="left" vertical="center"/>
    </xf>
    <xf numFmtId="0" fontId="9" fillId="0" borderId="0">
      <alignment horizontal="left" vertical="center"/>
    </xf>
    <xf numFmtId="0" fontId="10" fillId="5" borderId="0">
      <alignment horizontal="left" vertical="center"/>
    </xf>
    <xf numFmtId="0" fontId="11" fillId="5" borderId="0">
      <alignment horizontal="left" vertical="center"/>
    </xf>
    <xf numFmtId="0" fontId="10" fillId="5" borderId="0">
      <alignment horizontal="right" vertical="center"/>
    </xf>
  </cellStyleXfs>
  <cellXfs count="65">
    <xf numFmtId="0" fontId="0" fillId="0" borderId="0" xfId="0"/>
    <xf numFmtId="0" fontId="2" fillId="0" borderId="0" xfId="2">
      <alignment horizontal="left" vertical="center"/>
    </xf>
    <xf numFmtId="0" fontId="2" fillId="0" borderId="0" xfId="4">
      <alignment horizontal="left" vertical="top" wrapText="1"/>
    </xf>
    <xf numFmtId="0" fontId="3" fillId="0" borderId="0" xfId="5">
      <alignment horizontal="left" vertical="center"/>
    </xf>
    <xf numFmtId="0" fontId="4" fillId="2" borderId="0" xfId="6" applyFill="1">
      <alignment horizontal="center" vertical="center" wrapText="1"/>
    </xf>
    <xf numFmtId="0" fontId="1" fillId="0" borderId="1" xfId="7">
      <alignment horizontal="left" vertical="center" indent="1"/>
    </xf>
    <xf numFmtId="0" fontId="1" fillId="3" borderId="1" xfId="8">
      <alignment horizontal="left" vertical="center" indent="1"/>
    </xf>
    <xf numFmtId="0" fontId="1" fillId="0" borderId="1" xfId="9">
      <alignment horizontal="right" vertical="center" indent="1"/>
    </xf>
    <xf numFmtId="0" fontId="1" fillId="3" borderId="1" xfId="10">
      <alignment horizontal="right" vertical="center" indent="1"/>
    </xf>
    <xf numFmtId="0" fontId="1" fillId="0" borderId="1" xfId="11">
      <alignment horizontal="center" vertical="center"/>
    </xf>
    <xf numFmtId="0" fontId="5" fillId="3" borderId="1" xfId="12">
      <alignment horizontal="center" vertical="center"/>
    </xf>
    <xf numFmtId="0" fontId="6" fillId="0" borderId="1" xfId="13">
      <alignment horizontal="left" vertical="center" indent="1"/>
    </xf>
    <xf numFmtId="0" fontId="6" fillId="3" borderId="1" xfId="14">
      <alignment horizontal="left" vertical="center" indent="1"/>
    </xf>
    <xf numFmtId="0" fontId="6" fillId="0" borderId="1" xfId="15">
      <alignment horizontal="right" vertical="center" indent="1"/>
    </xf>
    <xf numFmtId="0" fontId="6" fillId="3" borderId="2" xfId="16">
      <alignment horizontal="right" vertical="center" indent="1"/>
    </xf>
    <xf numFmtId="0" fontId="7" fillId="4" borderId="3" xfId="17">
      <alignment horizontal="left" vertical="center" indent="1"/>
    </xf>
    <xf numFmtId="0" fontId="8" fillId="4" borderId="3" xfId="18">
      <alignment horizontal="left" vertical="center" indent="1"/>
    </xf>
    <xf numFmtId="164" fontId="1" fillId="0" borderId="1" xfId="7" applyNumberFormat="1">
      <alignment horizontal="left" vertical="center" indent="1"/>
    </xf>
    <xf numFmtId="164" fontId="1" fillId="3" borderId="1" xfId="8" applyNumberFormat="1">
      <alignment horizontal="left" vertical="center" indent="1"/>
    </xf>
    <xf numFmtId="164" fontId="1" fillId="0" borderId="1" xfId="9" applyNumberFormat="1">
      <alignment horizontal="right" vertical="center" indent="1"/>
    </xf>
    <xf numFmtId="164" fontId="1" fillId="3" borderId="1" xfId="10" applyNumberFormat="1">
      <alignment horizontal="right" vertical="center" indent="1"/>
    </xf>
    <xf numFmtId="164" fontId="1" fillId="0" borderId="1" xfId="11" applyNumberFormat="1">
      <alignment horizontal="center" vertical="center"/>
    </xf>
    <xf numFmtId="164" fontId="5" fillId="3" borderId="1" xfId="12" applyNumberFormat="1">
      <alignment horizontal="center" vertical="center"/>
    </xf>
    <xf numFmtId="164" fontId="6" fillId="0" borderId="1" xfId="13" applyNumberFormat="1">
      <alignment horizontal="left" vertical="center" indent="1"/>
    </xf>
    <xf numFmtId="164" fontId="6" fillId="3" borderId="1" xfId="14" applyNumberFormat="1">
      <alignment horizontal="left" vertical="center" indent="1"/>
    </xf>
    <xf numFmtId="164" fontId="6" fillId="0" borderId="1" xfId="15" applyNumberFormat="1">
      <alignment horizontal="right" vertical="center" indent="1"/>
    </xf>
    <xf numFmtId="164" fontId="6" fillId="3" borderId="2" xfId="16" applyNumberFormat="1">
      <alignment horizontal="right" vertical="center" indent="1"/>
    </xf>
    <xf numFmtId="164" fontId="7" fillId="4" borderId="3" xfId="17" applyNumberFormat="1">
      <alignment horizontal="left" vertical="center" indent="1"/>
    </xf>
    <xf numFmtId="164" fontId="8" fillId="4" borderId="3" xfId="18" applyNumberFormat="1">
      <alignment horizontal="left" vertical="center" indent="1"/>
    </xf>
    <xf numFmtId="165" fontId="1" fillId="0" borderId="1" xfId="7" applyNumberFormat="1">
      <alignment horizontal="left" vertical="center" indent="1"/>
    </xf>
    <xf numFmtId="165" fontId="1" fillId="3" borderId="1" xfId="8" applyNumberFormat="1">
      <alignment horizontal="left" vertical="center" indent="1"/>
    </xf>
    <xf numFmtId="165" fontId="1" fillId="0" borderId="1" xfId="9" applyNumberFormat="1">
      <alignment horizontal="right" vertical="center" indent="1"/>
    </xf>
    <xf numFmtId="165" fontId="1" fillId="3" borderId="1" xfId="10" applyNumberFormat="1">
      <alignment horizontal="right" vertical="center" indent="1"/>
    </xf>
    <xf numFmtId="165" fontId="1" fillId="0" borderId="1" xfId="11" applyNumberFormat="1">
      <alignment horizontal="center" vertical="center"/>
    </xf>
    <xf numFmtId="165" fontId="5" fillId="3" borderId="1" xfId="12" applyNumberFormat="1">
      <alignment horizontal="center" vertical="center"/>
    </xf>
    <xf numFmtId="165" fontId="6" fillId="0" borderId="1" xfId="13" applyNumberFormat="1">
      <alignment horizontal="left" vertical="center" indent="1"/>
    </xf>
    <xf numFmtId="165" fontId="6" fillId="3" borderId="1" xfId="14" applyNumberFormat="1">
      <alignment horizontal="left" vertical="center" indent="1"/>
    </xf>
    <xf numFmtId="165" fontId="6" fillId="0" borderId="1" xfId="15" applyNumberFormat="1">
      <alignment horizontal="right" vertical="center" indent="1"/>
    </xf>
    <xf numFmtId="165" fontId="6" fillId="3" borderId="2" xfId="16" applyNumberFormat="1">
      <alignment horizontal="right" vertical="center" indent="1"/>
    </xf>
    <xf numFmtId="165" fontId="7" fillId="4" borderId="3" xfId="17" applyNumberFormat="1">
      <alignment horizontal="left" vertical="center" indent="1"/>
    </xf>
    <xf numFmtId="165" fontId="8" fillId="4" borderId="3" xfId="18" applyNumberFormat="1">
      <alignment horizontal="left" vertical="center" indent="1"/>
    </xf>
    <xf numFmtId="166" fontId="1" fillId="0" borderId="1" xfId="7" applyNumberFormat="1">
      <alignment horizontal="left" vertical="center" indent="1"/>
    </xf>
    <xf numFmtId="166" fontId="1" fillId="3" borderId="1" xfId="8" applyNumberFormat="1">
      <alignment horizontal="left" vertical="center" indent="1"/>
    </xf>
    <xf numFmtId="166" fontId="1" fillId="0" borderId="1" xfId="9" applyNumberFormat="1">
      <alignment horizontal="right" vertical="center" indent="1"/>
    </xf>
    <xf numFmtId="166" fontId="1" fillId="3" borderId="1" xfId="10" applyNumberFormat="1">
      <alignment horizontal="right" vertical="center" indent="1"/>
    </xf>
    <xf numFmtId="166" fontId="1" fillId="0" borderId="1" xfId="11" applyNumberFormat="1">
      <alignment horizontal="center" vertical="center"/>
    </xf>
    <xf numFmtId="166" fontId="5" fillId="3" borderId="1" xfId="12" applyNumberFormat="1">
      <alignment horizontal="center" vertical="center"/>
    </xf>
    <xf numFmtId="166" fontId="6" fillId="0" borderId="1" xfId="13" applyNumberFormat="1">
      <alignment horizontal="left" vertical="center" indent="1"/>
    </xf>
    <xf numFmtId="166" fontId="6" fillId="3" borderId="1" xfId="14" applyNumberFormat="1">
      <alignment horizontal="left" vertical="center" indent="1"/>
    </xf>
    <xf numFmtId="166" fontId="6" fillId="0" borderId="1" xfId="15" applyNumberFormat="1">
      <alignment horizontal="right" vertical="center" indent="1"/>
    </xf>
    <xf numFmtId="166" fontId="6" fillId="3" borderId="2" xfId="16" applyNumberFormat="1">
      <alignment horizontal="right" vertical="center" indent="1"/>
    </xf>
    <xf numFmtId="166" fontId="7" fillId="4" borderId="3" xfId="17" applyNumberFormat="1">
      <alignment horizontal="left" vertical="center" indent="1"/>
    </xf>
    <xf numFmtId="166" fontId="8" fillId="4" borderId="3" xfId="18" applyNumberFormat="1">
      <alignment horizontal="left" vertical="center" indent="1"/>
    </xf>
    <xf numFmtId="167" fontId="1" fillId="0" borderId="1" xfId="7" applyNumberFormat="1">
      <alignment horizontal="left" vertical="center" indent="1"/>
    </xf>
    <xf numFmtId="167" fontId="1" fillId="3" borderId="1" xfId="8" applyNumberFormat="1">
      <alignment horizontal="left" vertical="center" indent="1"/>
    </xf>
    <xf numFmtId="167" fontId="1" fillId="0" borderId="1" xfId="9" applyNumberFormat="1">
      <alignment horizontal="right" vertical="center" indent="1"/>
    </xf>
    <xf numFmtId="167" fontId="1" fillId="3" borderId="1" xfId="10" applyNumberFormat="1">
      <alignment horizontal="right" vertical="center" indent="1"/>
    </xf>
    <xf numFmtId="167" fontId="1" fillId="0" borderId="1" xfId="11" applyNumberFormat="1">
      <alignment horizontal="center" vertical="center"/>
    </xf>
    <xf numFmtId="167" fontId="5" fillId="3" borderId="1" xfId="12" applyNumberFormat="1">
      <alignment horizontal="center" vertical="center"/>
    </xf>
    <xf numFmtId="167" fontId="6" fillId="0" borderId="1" xfId="13" applyNumberFormat="1">
      <alignment horizontal="left" vertical="center" indent="1"/>
    </xf>
    <xf numFmtId="167" fontId="6" fillId="3" borderId="1" xfId="14" applyNumberFormat="1">
      <alignment horizontal="left" vertical="center" indent="1"/>
    </xf>
    <xf numFmtId="167" fontId="6" fillId="0" borderId="1" xfId="15" applyNumberFormat="1">
      <alignment horizontal="right" vertical="center" indent="1"/>
    </xf>
    <xf numFmtId="167" fontId="6" fillId="3" borderId="2" xfId="16" applyNumberFormat="1">
      <alignment horizontal="right" vertical="center" indent="1"/>
    </xf>
    <xf numFmtId="167" fontId="7" fillId="4" borderId="3" xfId="17" applyNumberFormat="1">
      <alignment horizontal="left" vertical="center" indent="1"/>
    </xf>
    <xf numFmtId="167" fontId="8" fillId="4" borderId="3" xfId="18" applyNumberFormat="1">
      <alignment horizontal="left" vertical="center" indent="1"/>
    </xf>
  </cellXfs>
  <cellStyles count="24">
    <cellStyle name="bold" xfId="2" xr:uid="{00000000-0005-0000-0000-000002000000}"/>
    <cellStyle name="defaultStyle" xfId="19" xr:uid="{00000000-0005-0000-0000-000013000000}"/>
    <cellStyle name="fontSize10Italic" xfId="21" xr:uid="{00000000-0005-0000-0000-000015000000}"/>
    <cellStyle name="fontSize10ItalicHyperlink" xfId="22" xr:uid="{00000000-0005-0000-0000-000017000000}"/>
    <cellStyle name="fontSize10ItalicRight" xfId="23" xr:uid="{00000000-0005-0000-0000-000018000000}"/>
    <cellStyle name="fontSize14Bold" xfId="20" xr:uid="{00000000-0005-0000-0000-000014000000}"/>
    <cellStyle name="fontSize16Bold" xfId="5" xr:uid="{00000000-0005-0000-0000-000005000000}"/>
    <cellStyle name="horizontalCenterWrapWhiteBold" xfId="6" xr:uid="{00000000-0005-0000-0000-000006000000}"/>
    <cellStyle name="horizontalRight" xfId="1" xr:uid="{00000000-0005-0000-0000-000001000000}"/>
    <cellStyle name="hyperlinkTableCellStyleLeftGroupingColored" xfId="18" xr:uid="{00000000-0005-0000-0000-000012000000}"/>
    <cellStyle name="Normal" xfId="0" builtinId="0"/>
    <cellStyle name="tableCellStyleCenter" xfId="11" xr:uid="{00000000-0005-0000-0000-00000B000000}"/>
    <cellStyle name="tableCellStyleCenterColored" xfId="12" xr:uid="{00000000-0005-0000-0000-00000C000000}"/>
    <cellStyle name="tableCellStyleLeft" xfId="7" xr:uid="{00000000-0005-0000-0000-000007000000}"/>
    <cellStyle name="tableCellStyleLeftColored" xfId="8" xr:uid="{00000000-0005-0000-0000-000008000000}"/>
    <cellStyle name="tableCellStyleLeftGroupingColored" xfId="17" xr:uid="{00000000-0005-0000-0000-000011000000}"/>
    <cellStyle name="tableCellStyleLeftHyperlink" xfId="13" xr:uid="{00000000-0005-0000-0000-00000D000000}"/>
    <cellStyle name="tableCellStyleLeftHyperlinkColored" xfId="14" xr:uid="{00000000-0005-0000-0000-00000E000000}"/>
    <cellStyle name="tableCellStyleRight" xfId="9" xr:uid="{00000000-0005-0000-0000-000009000000}"/>
    <cellStyle name="tableCellStyleRightColored" xfId="10" xr:uid="{00000000-0005-0000-0000-00000A000000}"/>
    <cellStyle name="tableCellStyleRightHyperlink" xfId="15" xr:uid="{00000000-0005-0000-0000-00000F000000}"/>
    <cellStyle name="tableCellStyleRightHyperlinkColored" xfId="16" xr:uid="{00000000-0005-0000-0000-000010000000}"/>
    <cellStyle name="verticalTopBoldWrapBold" xfId="4" xr:uid="{00000000-0005-0000-0000-000004000000}"/>
    <cellStyle name="verticalTopHorizontalRight"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85725</xdr:colOff>
      <xdr:row>0</xdr:row>
      <xdr:rowOff>85725</xdr:rowOff>
    </xdr:from>
    <xdr:to>
      <xdr:col>0</xdr:col>
      <xdr:colOff>1400175</xdr:colOff>
      <xdr:row>0</xdr:row>
      <xdr:rowOff>304800</xdr:rowOff>
    </xdr:to>
    <xdr:pic>
      <xdr:nvPicPr>
        <xdr:cNvPr id="2" name="Graphic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a:fillRect/>
        </a:stretch>
      </xdr:blipFill>
      <xdr:spPr>
        <a:xfrm>
          <a:off x="85725" y="85725"/>
          <a:ext cx="1314450" cy="219075"/>
        </a:xfrm>
        <a:prstGeom prst="rect">
          <a:avLst/>
        </a:prstGeom>
        <a:effec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06"/>
  <sheetViews>
    <sheetView showGridLines="0" tabSelected="1" workbookViewId="0">
      <selection activeCell="B33" sqref="B33"/>
    </sheetView>
  </sheetViews>
  <sheetFormatPr defaultRowHeight="14.5" x14ac:dyDescent="0.35"/>
  <cols>
    <col min="1" max="1" width="45.26953125" customWidth="1"/>
    <col min="2" max="3" width="29.54296875" customWidth="1"/>
    <col min="4" max="4" width="23.26953125" customWidth="1"/>
    <col min="5" max="5" width="27.54296875" customWidth="1"/>
    <col min="6" max="6" width="25" customWidth="1"/>
    <col min="7" max="7" width="27.54296875" customWidth="1"/>
    <col min="8" max="9" width="19.453125" customWidth="1"/>
    <col min="10" max="10" width="39.7265625" customWidth="1"/>
    <col min="11" max="11" width="23.81640625" customWidth="1"/>
    <col min="12" max="12" width="15.6328125" customWidth="1"/>
    <col min="13" max="13" width="22.453125" customWidth="1"/>
    <col min="14" max="14" width="18.7265625" customWidth="1"/>
  </cols>
  <sheetData>
    <row r="1" spans="1:14" ht="25" customHeight="1" x14ac:dyDescent="0.35">
      <c r="C1" s="3" t="s">
        <v>0</v>
      </c>
    </row>
    <row r="3" spans="1:14" x14ac:dyDescent="0.35">
      <c r="A3" s="1"/>
    </row>
    <row r="4" spans="1:14" x14ac:dyDescent="0.35">
      <c r="A4" s="2" t="s">
        <v>0</v>
      </c>
    </row>
    <row r="6" spans="1:14" ht="35" customHeight="1" x14ac:dyDescent="0.35">
      <c r="A6" s="4" t="s">
        <v>1193</v>
      </c>
      <c r="B6" s="4" t="s">
        <v>1</v>
      </c>
      <c r="C6" s="4" t="s">
        <v>2</v>
      </c>
      <c r="D6" s="4" t="s">
        <v>10</v>
      </c>
      <c r="E6" s="4" t="s">
        <v>11</v>
      </c>
      <c r="F6" s="4" t="s">
        <v>4</v>
      </c>
      <c r="G6" s="4" t="s">
        <v>3</v>
      </c>
      <c r="H6" s="4" t="s">
        <v>5</v>
      </c>
      <c r="I6" s="4" t="s">
        <v>6</v>
      </c>
      <c r="J6" s="4" t="s">
        <v>7</v>
      </c>
      <c r="K6" s="4" t="s">
        <v>8</v>
      </c>
      <c r="L6" s="4" t="s">
        <v>9</v>
      </c>
      <c r="M6" s="4" t="s">
        <v>12</v>
      </c>
      <c r="N6" s="4" t="s">
        <v>13</v>
      </c>
    </row>
    <row r="7" spans="1:14" x14ac:dyDescent="0.35">
      <c r="A7" s="6" t="s">
        <v>14</v>
      </c>
      <c r="B7" s="6" t="s">
        <v>15</v>
      </c>
      <c r="C7" s="6" t="s">
        <v>16</v>
      </c>
      <c r="D7" s="32">
        <v>173916.5</v>
      </c>
      <c r="E7" s="20">
        <v>46080</v>
      </c>
      <c r="F7" s="32">
        <v>840000</v>
      </c>
      <c r="G7" s="20">
        <v>46080</v>
      </c>
      <c r="H7" s="44">
        <v>1</v>
      </c>
      <c r="I7" s="44">
        <v>97</v>
      </c>
      <c r="J7" s="6" t="s">
        <v>17</v>
      </c>
      <c r="K7" s="6" t="s">
        <v>18</v>
      </c>
      <c r="L7" s="56">
        <v>2015</v>
      </c>
      <c r="M7" s="12" t="str">
        <f>HYPERLINK("http://www.openai.com", "www.openai.com")</f>
        <v>www.openai.com</v>
      </c>
      <c r="N7" s="12" t="str">
        <f>HYPERLINK("https://my.pitchbook.com?c=149504-14", "View Company Online")</f>
        <v>View Company Online</v>
      </c>
    </row>
    <row r="8" spans="1:14" x14ac:dyDescent="0.35">
      <c r="A8" s="5" t="s">
        <v>19</v>
      </c>
      <c r="B8" s="5" t="s">
        <v>15</v>
      </c>
      <c r="C8" s="5" t="s">
        <v>16</v>
      </c>
      <c r="D8" s="31">
        <v>61154</v>
      </c>
      <c r="E8" s="19">
        <v>46065</v>
      </c>
      <c r="F8" s="31">
        <v>380000</v>
      </c>
      <c r="G8" s="19">
        <v>46065</v>
      </c>
      <c r="H8" s="43">
        <v>3</v>
      </c>
      <c r="I8" s="43">
        <v>86</v>
      </c>
      <c r="J8" s="5" t="s">
        <v>20</v>
      </c>
      <c r="K8" s="5" t="s">
        <v>18</v>
      </c>
      <c r="L8" s="55">
        <v>2021</v>
      </c>
      <c r="M8" s="11" t="str">
        <f>HYPERLINK("http://www.anthropic.com", "www.anthropic.com")</f>
        <v>www.anthropic.com</v>
      </c>
      <c r="N8" s="11" t="str">
        <f>HYPERLINK("https://my.pitchbook.com?c=466959-97", "View Company Online")</f>
        <v>View Company Online</v>
      </c>
    </row>
    <row r="9" spans="1:14" x14ac:dyDescent="0.35">
      <c r="A9" s="6" t="s">
        <v>21</v>
      </c>
      <c r="B9" s="6" t="s">
        <v>15</v>
      </c>
      <c r="C9" s="6" t="s">
        <v>22</v>
      </c>
      <c r="D9" s="32">
        <v>33135.089999999997</v>
      </c>
      <c r="E9" s="20">
        <v>46045</v>
      </c>
      <c r="F9" s="32">
        <v>134000</v>
      </c>
      <c r="G9" s="20">
        <v>46062</v>
      </c>
      <c r="H9" s="44">
        <v>1</v>
      </c>
      <c r="I9" s="44">
        <v>97</v>
      </c>
      <c r="J9" s="6" t="s">
        <v>23</v>
      </c>
      <c r="K9" s="6" t="s">
        <v>18</v>
      </c>
      <c r="L9" s="56">
        <v>2013</v>
      </c>
      <c r="M9" s="12" t="str">
        <f>HYPERLINK("http://www.databricks.com", "www.databricks.com")</f>
        <v>www.databricks.com</v>
      </c>
      <c r="N9" s="12" t="str">
        <f>HYPERLINK("https://my.pitchbook.com?c=59199-40", "View Company Online")</f>
        <v>View Company Online</v>
      </c>
    </row>
    <row r="10" spans="1:14" x14ac:dyDescent="0.35">
      <c r="A10" s="5" t="s">
        <v>25</v>
      </c>
      <c r="B10" s="5" t="s">
        <v>26</v>
      </c>
      <c r="C10" s="5" t="s">
        <v>27</v>
      </c>
      <c r="D10" s="31">
        <v>27100</v>
      </c>
      <c r="E10" s="19">
        <v>46055</v>
      </c>
      <c r="F10" s="31">
        <v>126000</v>
      </c>
      <c r="G10" s="19">
        <v>46055</v>
      </c>
      <c r="H10" s="43">
        <v>41</v>
      </c>
      <c r="I10" s="43">
        <v>57</v>
      </c>
      <c r="J10" s="5" t="s">
        <v>28</v>
      </c>
      <c r="K10" s="5" t="s">
        <v>29</v>
      </c>
      <c r="L10" s="55">
        <v>2009</v>
      </c>
      <c r="M10" s="11" t="str">
        <f>HYPERLINK("http://www.waymo.com", "www.waymo.com")</f>
        <v>www.waymo.com</v>
      </c>
      <c r="N10" s="11" t="str">
        <f>HYPERLINK("https://my.pitchbook.com?c=169143-76", "View Company Online")</f>
        <v>View Company Online</v>
      </c>
    </row>
    <row r="11" spans="1:14" x14ac:dyDescent="0.35">
      <c r="A11" s="6" t="s">
        <v>30</v>
      </c>
      <c r="B11" s="6" t="s">
        <v>1192</v>
      </c>
      <c r="C11" s="6" t="s">
        <v>31</v>
      </c>
      <c r="D11" s="32">
        <v>18953</v>
      </c>
      <c r="E11" s="20" t="s">
        <v>32</v>
      </c>
      <c r="F11" s="32">
        <v>79767.600000000006</v>
      </c>
      <c r="G11" s="20" t="s">
        <v>32</v>
      </c>
      <c r="H11" s="44" t="s">
        <v>24</v>
      </c>
      <c r="I11" s="44" t="s">
        <v>24</v>
      </c>
      <c r="J11" s="6" t="s">
        <v>33</v>
      </c>
      <c r="K11" s="6" t="s">
        <v>34</v>
      </c>
      <c r="L11" s="56">
        <v>2012</v>
      </c>
      <c r="M11" s="12" t="str">
        <f>HYPERLINK("http://www.bytedance.com", "www.bytedance.com")</f>
        <v>www.bytedance.com</v>
      </c>
      <c r="N11" s="12" t="str">
        <f>HYPERLINK("https://my.pitchbook.com?c=63628-21", "View Company Online")</f>
        <v>View Company Online</v>
      </c>
    </row>
    <row r="12" spans="1:14" x14ac:dyDescent="0.35">
      <c r="A12" s="5" t="s">
        <v>35</v>
      </c>
      <c r="B12" s="6" t="s">
        <v>1192</v>
      </c>
      <c r="C12" s="5" t="s">
        <v>36</v>
      </c>
      <c r="D12" s="31">
        <v>15902.86</v>
      </c>
      <c r="E12" s="19" t="s">
        <v>24</v>
      </c>
      <c r="F12" s="31">
        <v>74110</v>
      </c>
      <c r="G12" s="19">
        <v>45820</v>
      </c>
      <c r="H12" s="43">
        <v>11</v>
      </c>
      <c r="I12" s="43">
        <v>87</v>
      </c>
      <c r="J12" s="5" t="s">
        <v>37</v>
      </c>
      <c r="K12" s="5" t="s">
        <v>18</v>
      </c>
      <c r="L12" s="55">
        <v>2016</v>
      </c>
      <c r="M12" s="11" t="str">
        <f>HYPERLINK("http://www.scale.com", "www.scale.com")</f>
        <v>www.scale.com</v>
      </c>
      <c r="N12" s="11" t="str">
        <f>HYPERLINK("https://my.pitchbook.com?c=163154-17", "View Company Online")</f>
        <v>View Company Online</v>
      </c>
    </row>
    <row r="13" spans="1:14" x14ac:dyDescent="0.35">
      <c r="A13" s="6" t="s">
        <v>38</v>
      </c>
      <c r="B13" s="6" t="s">
        <v>39</v>
      </c>
      <c r="C13" s="6" t="s">
        <v>40</v>
      </c>
      <c r="D13" s="32">
        <v>12823</v>
      </c>
      <c r="E13" s="20">
        <v>46088</v>
      </c>
      <c r="F13" s="32">
        <v>23000</v>
      </c>
      <c r="G13" s="20">
        <v>46050</v>
      </c>
      <c r="H13" s="44">
        <v>1</v>
      </c>
      <c r="I13" s="44">
        <v>97</v>
      </c>
      <c r="J13" s="6" t="s">
        <v>41</v>
      </c>
      <c r="K13" s="6" t="s">
        <v>42</v>
      </c>
      <c r="L13" s="56">
        <v>2015</v>
      </c>
      <c r="M13" s="12" t="str">
        <f>HYPERLINK("http://www.cerebras.ai", "www.cerebras.ai")</f>
        <v>www.cerebras.ai</v>
      </c>
      <c r="N13" s="12" t="str">
        <f>HYPERLINK("https://my.pitchbook.com?c=163733-59", "View Company Online")</f>
        <v>View Company Online</v>
      </c>
    </row>
    <row r="14" spans="1:14" x14ac:dyDescent="0.35">
      <c r="A14" s="5" t="s">
        <v>43</v>
      </c>
      <c r="B14" s="6" t="s">
        <v>1192</v>
      </c>
      <c r="C14" s="5" t="s">
        <v>44</v>
      </c>
      <c r="D14" s="31">
        <v>10541.07</v>
      </c>
      <c r="E14" s="19">
        <v>46062</v>
      </c>
      <c r="F14" s="31">
        <v>3911.36</v>
      </c>
      <c r="G14" s="19">
        <v>45975</v>
      </c>
      <c r="H14" s="43">
        <v>19</v>
      </c>
      <c r="I14" s="43">
        <v>77</v>
      </c>
      <c r="J14" s="5" t="s">
        <v>45</v>
      </c>
      <c r="K14" s="5" t="s">
        <v>46</v>
      </c>
      <c r="L14" s="55">
        <v>2019</v>
      </c>
      <c r="M14" s="11" t="str">
        <f>HYPERLINK("http://www.firmus.co", "www.firmus.co")</f>
        <v>www.firmus.co</v>
      </c>
      <c r="N14" s="11" t="str">
        <f>HYPERLINK("https://my.pitchbook.com?c=501786-82", "View Company Online")</f>
        <v>View Company Online</v>
      </c>
    </row>
    <row r="15" spans="1:14" x14ac:dyDescent="0.35">
      <c r="A15" s="6" t="s">
        <v>47</v>
      </c>
      <c r="B15" s="6" t="s">
        <v>1192</v>
      </c>
      <c r="C15" s="6" t="s">
        <v>48</v>
      </c>
      <c r="D15" s="32">
        <v>8735</v>
      </c>
      <c r="E15" s="20">
        <v>46090</v>
      </c>
      <c r="F15" s="32">
        <v>159000</v>
      </c>
      <c r="G15" s="20">
        <v>46077</v>
      </c>
      <c r="H15" s="44">
        <v>1</v>
      </c>
      <c r="I15" s="44">
        <v>97</v>
      </c>
      <c r="J15" s="6" t="s">
        <v>49</v>
      </c>
      <c r="K15" s="6" t="s">
        <v>50</v>
      </c>
      <c r="L15" s="56">
        <v>2010</v>
      </c>
      <c r="M15" s="12" t="str">
        <f>HYPERLINK("http://www.stripe.com", "www.stripe.com")</f>
        <v>www.stripe.com</v>
      </c>
      <c r="N15" s="12" t="str">
        <f>HYPERLINK("https://my.pitchbook.com?c=54782-29", "View Company Online")</f>
        <v>View Company Online</v>
      </c>
    </row>
    <row r="16" spans="1:14" x14ac:dyDescent="0.35">
      <c r="A16" s="5" t="s">
        <v>51</v>
      </c>
      <c r="B16" s="6" t="s">
        <v>1192</v>
      </c>
      <c r="C16" s="5" t="s">
        <v>31</v>
      </c>
      <c r="D16" s="31">
        <v>8005</v>
      </c>
      <c r="E16" s="19">
        <v>45607</v>
      </c>
      <c r="F16" s="31">
        <v>22500</v>
      </c>
      <c r="G16" s="19">
        <v>45607</v>
      </c>
      <c r="H16" s="43">
        <v>9</v>
      </c>
      <c r="I16" s="43">
        <v>89</v>
      </c>
      <c r="J16" s="5" t="s">
        <v>52</v>
      </c>
      <c r="K16" s="5" t="s">
        <v>53</v>
      </c>
      <c r="L16" s="55">
        <v>1991</v>
      </c>
      <c r="M16" s="11" t="str">
        <f>HYPERLINK("http://www.epicgames.com", "www.epicgames.com")</f>
        <v>www.epicgames.com</v>
      </c>
      <c r="N16" s="11" t="str">
        <f>HYPERLINK("https://my.pitchbook.com?c=64901-80", "View Company Online")</f>
        <v>View Company Online</v>
      </c>
    </row>
    <row r="17" spans="1:14" x14ac:dyDescent="0.35">
      <c r="A17" s="6" t="s">
        <v>54</v>
      </c>
      <c r="B17" s="6" t="s">
        <v>26</v>
      </c>
      <c r="C17" s="6" t="s">
        <v>55</v>
      </c>
      <c r="D17" s="32">
        <v>6870.1</v>
      </c>
      <c r="E17" s="20">
        <v>46084</v>
      </c>
      <c r="F17" s="32">
        <v>60000</v>
      </c>
      <c r="G17" s="20">
        <v>46084</v>
      </c>
      <c r="H17" s="44">
        <v>3</v>
      </c>
      <c r="I17" s="44">
        <v>95</v>
      </c>
      <c r="J17" s="6" t="s">
        <v>56</v>
      </c>
      <c r="K17" s="6" t="s">
        <v>57</v>
      </c>
      <c r="L17" s="56">
        <v>2017</v>
      </c>
      <c r="M17" s="12" t="str">
        <f>HYPERLINK("http://www.anduril.com", "www.anduril.com")</f>
        <v>www.anduril.com</v>
      </c>
      <c r="N17" s="12" t="str">
        <f>HYPERLINK("https://my.pitchbook.com?c=223461-82", "View Company Online")</f>
        <v>View Company Online</v>
      </c>
    </row>
    <row r="18" spans="1:14" x14ac:dyDescent="0.35">
      <c r="A18" s="5" t="s">
        <v>58</v>
      </c>
      <c r="B18" s="5" t="s">
        <v>26</v>
      </c>
      <c r="C18" s="5" t="s">
        <v>55</v>
      </c>
      <c r="D18" s="31">
        <v>6200</v>
      </c>
      <c r="E18" s="19">
        <v>45979</v>
      </c>
      <c r="F18" s="31" t="s">
        <v>24</v>
      </c>
      <c r="G18" s="19" t="s">
        <v>24</v>
      </c>
      <c r="H18" s="43" t="s">
        <v>24</v>
      </c>
      <c r="I18" s="43" t="s">
        <v>24</v>
      </c>
      <c r="J18" s="5" t="s">
        <v>59</v>
      </c>
      <c r="K18" s="5" t="s">
        <v>18</v>
      </c>
      <c r="L18" s="55">
        <v>2025</v>
      </c>
      <c r="M18" s="11" t="str">
        <f>HYPERLINK("http://projectprometheus.com", "projectprometheus.com")</f>
        <v>projectprometheus.com</v>
      </c>
      <c r="N18" s="11" t="str">
        <f>HYPERLINK("https://my.pitchbook.com?c=1162360-99", "View Company Online")</f>
        <v>View Company Online</v>
      </c>
    </row>
    <row r="19" spans="1:14" x14ac:dyDescent="0.35">
      <c r="A19" s="6" t="s">
        <v>60</v>
      </c>
      <c r="B19" s="6" t="s">
        <v>15</v>
      </c>
      <c r="C19" s="6" t="s">
        <v>22</v>
      </c>
      <c r="D19" s="32">
        <v>5927.25</v>
      </c>
      <c r="E19" s="20">
        <v>45992</v>
      </c>
      <c r="F19" s="32">
        <v>4800</v>
      </c>
      <c r="G19" s="20">
        <v>45636</v>
      </c>
      <c r="H19" s="44">
        <v>8</v>
      </c>
      <c r="I19" s="44">
        <v>90</v>
      </c>
      <c r="J19" s="6" t="s">
        <v>61</v>
      </c>
      <c r="K19" s="6" t="s">
        <v>62</v>
      </c>
      <c r="L19" s="56">
        <v>2013</v>
      </c>
      <c r="M19" s="12" t="str">
        <f>HYPERLINK("http://www.cohesity.com", "www.cohesity.com")</f>
        <v>www.cohesity.com</v>
      </c>
      <c r="N19" s="12" t="str">
        <f>HYPERLINK("https://my.pitchbook.com?c=61488-73", "View Company Online")</f>
        <v>View Company Online</v>
      </c>
    </row>
    <row r="20" spans="1:14" x14ac:dyDescent="0.35">
      <c r="A20" s="5" t="s">
        <v>63</v>
      </c>
      <c r="B20" s="6" t="s">
        <v>1192</v>
      </c>
      <c r="C20" s="5" t="s">
        <v>31</v>
      </c>
      <c r="D20" s="31">
        <v>4850</v>
      </c>
      <c r="E20" s="19">
        <v>45665</v>
      </c>
      <c r="F20" s="31">
        <v>12250</v>
      </c>
      <c r="G20" s="19">
        <v>45665</v>
      </c>
      <c r="H20" s="43" t="s">
        <v>24</v>
      </c>
      <c r="I20" s="43" t="s">
        <v>24</v>
      </c>
      <c r="J20" s="5" t="s">
        <v>64</v>
      </c>
      <c r="K20" s="5" t="s">
        <v>65</v>
      </c>
      <c r="L20" s="55">
        <v>2019</v>
      </c>
      <c r="M20" s="11" t="str">
        <f>HYPERLINK("http://www.napster.ai", "www.napster.ai")</f>
        <v>www.napster.ai</v>
      </c>
      <c r="N20" s="11" t="str">
        <f>HYPERLINK("https://my.pitchbook.com?c=489916-36", "View Company Online")</f>
        <v>View Company Online</v>
      </c>
    </row>
    <row r="21" spans="1:14" x14ac:dyDescent="0.35">
      <c r="A21" s="6" t="s">
        <v>66</v>
      </c>
      <c r="B21" s="6" t="s">
        <v>15</v>
      </c>
      <c r="C21" s="6" t="s">
        <v>16</v>
      </c>
      <c r="D21" s="32">
        <v>4685</v>
      </c>
      <c r="E21" s="20">
        <v>45945</v>
      </c>
      <c r="F21" s="32">
        <v>14600</v>
      </c>
      <c r="G21" s="20">
        <v>46090</v>
      </c>
      <c r="H21" s="44">
        <v>48</v>
      </c>
      <c r="I21" s="44">
        <v>50</v>
      </c>
      <c r="J21" s="6" t="s">
        <v>67</v>
      </c>
      <c r="K21" s="6" t="s">
        <v>68</v>
      </c>
      <c r="L21" s="56">
        <v>2018</v>
      </c>
      <c r="M21" s="12" t="str">
        <f>HYPERLINK("http://www.nscale.com", "www.nscale.com")</f>
        <v>www.nscale.com</v>
      </c>
      <c r="N21" s="12" t="str">
        <f>HYPERLINK("https://my.pitchbook.com?c=593750-17", "View Company Online")</f>
        <v>View Company Online</v>
      </c>
    </row>
    <row r="22" spans="1:14" x14ac:dyDescent="0.35">
      <c r="A22" s="5" t="s">
        <v>69</v>
      </c>
      <c r="B22" s="5" t="s">
        <v>39</v>
      </c>
      <c r="C22" s="5" t="s">
        <v>70</v>
      </c>
      <c r="D22" s="31">
        <v>4141.3</v>
      </c>
      <c r="E22" s="19">
        <v>46038</v>
      </c>
      <c r="F22" s="31">
        <v>10000</v>
      </c>
      <c r="G22" s="19">
        <v>45954</v>
      </c>
      <c r="H22" s="43">
        <v>14</v>
      </c>
      <c r="I22" s="43">
        <v>78</v>
      </c>
      <c r="J22" s="5" t="s">
        <v>71</v>
      </c>
      <c r="K22" s="5" t="s">
        <v>72</v>
      </c>
      <c r="L22" s="55">
        <v>2018</v>
      </c>
      <c r="M22" s="11" t="str">
        <f>HYPERLINK("http://www.crusoe.ai", "www.crusoe.ai")</f>
        <v>www.crusoe.ai</v>
      </c>
      <c r="N22" s="11" t="str">
        <f>HYPERLINK("https://my.pitchbook.com?c=267230-08", "View Company Online")</f>
        <v>View Company Online</v>
      </c>
    </row>
    <row r="23" spans="1:14" x14ac:dyDescent="0.35">
      <c r="A23" s="6" t="s">
        <v>73</v>
      </c>
      <c r="B23" s="6" t="s">
        <v>1192</v>
      </c>
      <c r="C23" s="6" t="s">
        <v>74</v>
      </c>
      <c r="D23" s="32">
        <v>4002.8</v>
      </c>
      <c r="E23" s="20">
        <v>45950</v>
      </c>
      <c r="F23" s="32">
        <v>5168</v>
      </c>
      <c r="G23" s="20">
        <v>45413</v>
      </c>
      <c r="H23" s="44">
        <v>27</v>
      </c>
      <c r="I23" s="44">
        <v>71</v>
      </c>
      <c r="J23" s="6" t="s">
        <v>75</v>
      </c>
      <c r="K23" s="6" t="s">
        <v>76</v>
      </c>
      <c r="L23" s="56">
        <v>2017</v>
      </c>
      <c r="M23" s="12" t="str">
        <f>HYPERLINK("http://www.metropolis.io", "www.metropolis.io")</f>
        <v>www.metropolis.io</v>
      </c>
      <c r="N23" s="12" t="str">
        <f>HYPERLINK("https://my.pitchbook.com?c=268287-40", "View Company Online")</f>
        <v>View Company Online</v>
      </c>
    </row>
    <row r="24" spans="1:14" x14ac:dyDescent="0.35">
      <c r="A24" s="5" t="s">
        <v>77</v>
      </c>
      <c r="B24" s="5" t="s">
        <v>39</v>
      </c>
      <c r="C24" s="5" t="s">
        <v>70</v>
      </c>
      <c r="D24" s="31">
        <v>3148.31</v>
      </c>
      <c r="E24" s="19" t="s">
        <v>80</v>
      </c>
      <c r="F24" s="31">
        <v>5434</v>
      </c>
      <c r="G24" s="19">
        <v>45979</v>
      </c>
      <c r="H24" s="43">
        <v>12</v>
      </c>
      <c r="I24" s="43">
        <v>86</v>
      </c>
      <c r="J24" s="5" t="s">
        <v>78</v>
      </c>
      <c r="K24" s="5" t="s">
        <v>79</v>
      </c>
      <c r="L24" s="55">
        <v>2012</v>
      </c>
      <c r="M24" s="11" t="str">
        <f>HYPERLINK("http://www.lambda.ai", "www.lambda.ai")</f>
        <v>www.lambda.ai</v>
      </c>
      <c r="N24" s="11" t="str">
        <f>HYPERLINK("https://my.pitchbook.com?c=55138-69", "View Company Online")</f>
        <v>View Company Online</v>
      </c>
    </row>
    <row r="25" spans="1:14" x14ac:dyDescent="0.35">
      <c r="A25" s="6" t="s">
        <v>81</v>
      </c>
      <c r="B25" s="6" t="s">
        <v>15</v>
      </c>
      <c r="C25" s="6" t="s">
        <v>16</v>
      </c>
      <c r="D25" s="32">
        <v>3000</v>
      </c>
      <c r="E25" s="20">
        <v>45758</v>
      </c>
      <c r="F25" s="32">
        <v>32000</v>
      </c>
      <c r="G25" s="20">
        <v>45758</v>
      </c>
      <c r="H25" s="44">
        <v>46</v>
      </c>
      <c r="I25" s="44">
        <v>52</v>
      </c>
      <c r="J25" s="6" t="s">
        <v>82</v>
      </c>
      <c r="K25" s="6" t="s">
        <v>83</v>
      </c>
      <c r="L25" s="56">
        <v>2024</v>
      </c>
      <c r="M25" s="12" t="str">
        <f>HYPERLINK("http://www.ssi.inc", "www.ssi.inc")</f>
        <v>www.ssi.inc</v>
      </c>
      <c r="N25" s="12" t="str">
        <f>HYPERLINK("https://my.pitchbook.com?c=606742-48", "View Company Online")</f>
        <v>View Company Online</v>
      </c>
    </row>
    <row r="26" spans="1:14" x14ac:dyDescent="0.35">
      <c r="A26" s="5" t="s">
        <v>84</v>
      </c>
      <c r="B26" s="6" t="s">
        <v>1192</v>
      </c>
      <c r="C26" s="5" t="s">
        <v>48</v>
      </c>
      <c r="D26" s="31">
        <v>2905.2</v>
      </c>
      <c r="E26" s="19">
        <v>45959</v>
      </c>
      <c r="F26" s="31">
        <v>6206.05</v>
      </c>
      <c r="G26" s="19">
        <v>45959</v>
      </c>
      <c r="H26" s="43" t="s">
        <v>24</v>
      </c>
      <c r="I26" s="43" t="s">
        <v>24</v>
      </c>
      <c r="J26" s="5" t="s">
        <v>85</v>
      </c>
      <c r="K26" s="5" t="s">
        <v>83</v>
      </c>
      <c r="L26" s="55">
        <v>2015</v>
      </c>
      <c r="M26" s="11" t="str">
        <f>HYPERLINK("http://navan.com", "navan.com")</f>
        <v>navan.com</v>
      </c>
      <c r="N26" s="11" t="str">
        <f>HYPERLINK("https://my.pitchbook.com?c=112950-64", "View Company Online")</f>
        <v>View Company Online</v>
      </c>
    </row>
    <row r="27" spans="1:14" x14ac:dyDescent="0.35">
      <c r="A27" s="6" t="s">
        <v>86</v>
      </c>
      <c r="B27" s="6" t="s">
        <v>15</v>
      </c>
      <c r="C27" s="6" t="s">
        <v>16</v>
      </c>
      <c r="D27" s="32">
        <v>2870</v>
      </c>
      <c r="E27" s="20" t="s">
        <v>24</v>
      </c>
      <c r="F27" s="32">
        <v>18000</v>
      </c>
      <c r="G27" s="20" t="s">
        <v>24</v>
      </c>
      <c r="H27" s="44" t="s">
        <v>24</v>
      </c>
      <c r="I27" s="44" t="s">
        <v>24</v>
      </c>
      <c r="J27" s="6" t="s">
        <v>87</v>
      </c>
      <c r="K27" s="6" t="s">
        <v>34</v>
      </c>
      <c r="L27" s="56">
        <v>2023</v>
      </c>
      <c r="M27" s="12" t="str">
        <f>HYPERLINK("http://www.moonshot.cn", "www.moonshot.cn")</f>
        <v>www.moonshot.cn</v>
      </c>
      <c r="N27" s="12" t="str">
        <f>HYPERLINK("https://my.pitchbook.com?c=529062-76", "View Company Online")</f>
        <v>View Company Online</v>
      </c>
    </row>
    <row r="28" spans="1:14" x14ac:dyDescent="0.35">
      <c r="A28" s="5" t="s">
        <v>88</v>
      </c>
      <c r="B28" s="6" t="s">
        <v>1192</v>
      </c>
      <c r="C28" s="5" t="s">
        <v>48</v>
      </c>
      <c r="D28" s="31">
        <v>2832.4</v>
      </c>
      <c r="E28" s="19" t="s">
        <v>24</v>
      </c>
      <c r="F28" s="31">
        <v>32000</v>
      </c>
      <c r="G28" s="19">
        <v>45978</v>
      </c>
      <c r="H28" s="43">
        <v>1</v>
      </c>
      <c r="I28" s="43">
        <v>97</v>
      </c>
      <c r="J28" s="5" t="s">
        <v>89</v>
      </c>
      <c r="K28" s="5" t="s">
        <v>90</v>
      </c>
      <c r="L28" s="55">
        <v>2019</v>
      </c>
      <c r="M28" s="11" t="str">
        <f>HYPERLINK("http://www.ramp.com", "www.ramp.com")</f>
        <v>www.ramp.com</v>
      </c>
      <c r="N28" s="11" t="str">
        <f>HYPERLINK("https://my.pitchbook.com?c=277837-93", "View Company Online")</f>
        <v>View Company Online</v>
      </c>
    </row>
    <row r="29" spans="1:14" x14ac:dyDescent="0.35">
      <c r="A29" s="6" t="s">
        <v>91</v>
      </c>
      <c r="B29" s="6" t="s">
        <v>26</v>
      </c>
      <c r="C29" s="6" t="s">
        <v>27</v>
      </c>
      <c r="D29" s="32">
        <v>2818.69</v>
      </c>
      <c r="E29" s="20">
        <v>46078</v>
      </c>
      <c r="F29" s="32">
        <v>8600</v>
      </c>
      <c r="G29" s="20">
        <v>46078</v>
      </c>
      <c r="H29" s="44">
        <v>11</v>
      </c>
      <c r="I29" s="44">
        <v>87</v>
      </c>
      <c r="J29" s="6" t="s">
        <v>92</v>
      </c>
      <c r="K29" s="6" t="s">
        <v>68</v>
      </c>
      <c r="L29" s="56">
        <v>2017</v>
      </c>
      <c r="M29" s="12" t="str">
        <f>HYPERLINK("http://www.wayve.ai", "www.wayve.ai")</f>
        <v>www.wayve.ai</v>
      </c>
      <c r="N29" s="12" t="str">
        <f>HYPERLINK("https://my.pitchbook.com?c=226916-29", "View Company Online")</f>
        <v>View Company Online</v>
      </c>
    </row>
    <row r="30" spans="1:14" x14ac:dyDescent="0.35">
      <c r="A30" s="5" t="s">
        <v>93</v>
      </c>
      <c r="B30" s="6" t="s">
        <v>1192</v>
      </c>
      <c r="C30" s="5" t="s">
        <v>36</v>
      </c>
      <c r="D30" s="31">
        <v>2789.63</v>
      </c>
      <c r="E30" s="19">
        <v>45896</v>
      </c>
      <c r="F30" s="31">
        <v>8000</v>
      </c>
      <c r="G30" s="19">
        <v>44648</v>
      </c>
      <c r="H30" s="43">
        <v>36</v>
      </c>
      <c r="I30" s="43">
        <v>62</v>
      </c>
      <c r="J30" s="5" t="s">
        <v>94</v>
      </c>
      <c r="K30" s="5" t="s">
        <v>18</v>
      </c>
      <c r="L30" s="55">
        <v>2013</v>
      </c>
      <c r="M30" s="11" t="str">
        <f>HYPERLINK("http://www.flexport.com", "www.flexport.com")</f>
        <v>www.flexport.com</v>
      </c>
      <c r="N30" s="11" t="str">
        <f>HYPERLINK("https://my.pitchbook.com?c=63690-94", "View Company Online")</f>
        <v>View Company Online</v>
      </c>
    </row>
    <row r="31" spans="1:14" x14ac:dyDescent="0.35">
      <c r="A31" s="6" t="s">
        <v>95</v>
      </c>
      <c r="B31" s="6" t="s">
        <v>1192</v>
      </c>
      <c r="C31" s="6" t="s">
        <v>36</v>
      </c>
      <c r="D31" s="32">
        <v>2733.47</v>
      </c>
      <c r="E31" s="20">
        <v>45882</v>
      </c>
      <c r="F31" s="32">
        <v>3300</v>
      </c>
      <c r="G31" s="20">
        <v>44106</v>
      </c>
      <c r="H31" s="44">
        <v>51</v>
      </c>
      <c r="I31" s="44">
        <v>46</v>
      </c>
      <c r="J31" s="6" t="s">
        <v>96</v>
      </c>
      <c r="K31" s="6" t="s">
        <v>76</v>
      </c>
      <c r="L31" s="56">
        <v>2017</v>
      </c>
      <c r="M31" s="12" t="str">
        <f>HYPERLINK("http://www.uberfreight.com", "www.uberfreight.com")</f>
        <v>www.uberfreight.com</v>
      </c>
      <c r="N31" s="12" t="str">
        <f>HYPERLINK("https://my.pitchbook.com?c=226257-13", "View Company Online")</f>
        <v>View Company Online</v>
      </c>
    </row>
    <row r="32" spans="1:14" x14ac:dyDescent="0.35">
      <c r="A32" s="5" t="s">
        <v>97</v>
      </c>
      <c r="B32" s="5" t="s">
        <v>15</v>
      </c>
      <c r="C32" s="5" t="s">
        <v>16</v>
      </c>
      <c r="D32" s="31">
        <v>2713.1</v>
      </c>
      <c r="E32" s="19" t="s">
        <v>24</v>
      </c>
      <c r="F32" s="31">
        <v>13663.72</v>
      </c>
      <c r="G32" s="19">
        <v>45909</v>
      </c>
      <c r="H32" s="43">
        <v>2</v>
      </c>
      <c r="I32" s="43">
        <v>41</v>
      </c>
      <c r="J32" s="5" t="s">
        <v>98</v>
      </c>
      <c r="K32" s="5" t="s">
        <v>99</v>
      </c>
      <c r="L32" s="55">
        <v>2023</v>
      </c>
      <c r="M32" s="11" t="str">
        <f>HYPERLINK("http://mistral.ai", "mistral.ai")</f>
        <v>mistral.ai</v>
      </c>
      <c r="N32" s="11" t="str">
        <f>HYPERLINK("https://my.pitchbook.com?c=527294-17", "View Company Online")</f>
        <v>View Company Online</v>
      </c>
    </row>
    <row r="33" spans="1:14" x14ac:dyDescent="0.35">
      <c r="A33" s="6" t="s">
        <v>100</v>
      </c>
      <c r="B33" s="6" t="s">
        <v>26</v>
      </c>
      <c r="C33" s="6" t="s">
        <v>27</v>
      </c>
      <c r="D33" s="32">
        <v>2699.4</v>
      </c>
      <c r="E33" s="20">
        <v>45982</v>
      </c>
      <c r="F33" s="32">
        <v>3655.63</v>
      </c>
      <c r="G33" s="20">
        <v>45982</v>
      </c>
      <c r="H33" s="44" t="s">
        <v>24</v>
      </c>
      <c r="I33" s="44" t="s">
        <v>24</v>
      </c>
      <c r="J33" s="6" t="s">
        <v>101</v>
      </c>
      <c r="K33" s="6" t="s">
        <v>102</v>
      </c>
      <c r="L33" s="56">
        <v>2018</v>
      </c>
      <c r="M33" s="12" t="str">
        <f>HYPERLINK("http://www.avatr.com", "www.avatr.com")</f>
        <v>www.avatr.com</v>
      </c>
      <c r="N33" s="12" t="str">
        <f>HYPERLINK("https://my.pitchbook.com?c=483554-35", "View Company Online")</f>
        <v>View Company Online</v>
      </c>
    </row>
    <row r="34" spans="1:14" x14ac:dyDescent="0.35">
      <c r="A34" s="5" t="s">
        <v>103</v>
      </c>
      <c r="B34" s="6" t="s">
        <v>1192</v>
      </c>
      <c r="C34" s="5" t="s">
        <v>36</v>
      </c>
      <c r="D34" s="31">
        <v>2579.41</v>
      </c>
      <c r="E34" s="19">
        <v>45638</v>
      </c>
      <c r="F34" s="31">
        <v>969.22</v>
      </c>
      <c r="G34" s="19">
        <v>44790</v>
      </c>
      <c r="H34" s="43">
        <v>63</v>
      </c>
      <c r="I34" s="43">
        <v>35</v>
      </c>
      <c r="J34" s="5" t="s">
        <v>104</v>
      </c>
      <c r="K34" s="5" t="s">
        <v>105</v>
      </c>
      <c r="L34" s="55">
        <v>2011</v>
      </c>
      <c r="M34" s="11" t="str">
        <f>HYPERLINK("http://www.shiprocket.in", "www.shiprocket.in")</f>
        <v>www.shiprocket.in</v>
      </c>
      <c r="N34" s="11" t="str">
        <f>HYPERLINK("https://my.pitchbook.com?c=58088-08", "View Company Online")</f>
        <v>View Company Online</v>
      </c>
    </row>
    <row r="35" spans="1:14" x14ac:dyDescent="0.35">
      <c r="A35" s="6" t="s">
        <v>106</v>
      </c>
      <c r="B35" s="6" t="s">
        <v>26</v>
      </c>
      <c r="C35" s="6" t="s">
        <v>55</v>
      </c>
      <c r="D35" s="32">
        <v>2345</v>
      </c>
      <c r="E35" s="20">
        <v>45799</v>
      </c>
      <c r="F35" s="32">
        <v>39000</v>
      </c>
      <c r="G35" s="20">
        <v>45799</v>
      </c>
      <c r="H35" s="44">
        <v>22</v>
      </c>
      <c r="I35" s="44">
        <v>70</v>
      </c>
      <c r="J35" s="6" t="s">
        <v>107</v>
      </c>
      <c r="K35" s="6" t="s">
        <v>79</v>
      </c>
      <c r="L35" s="56">
        <v>2022</v>
      </c>
      <c r="M35" s="12" t="str">
        <f>HYPERLINK("http://www.figure.ai", "www.figure.ai")</f>
        <v>www.figure.ai</v>
      </c>
      <c r="N35" s="12" t="str">
        <f>HYPERLINK("https://my.pitchbook.com?c=521074-54", "View Company Online")</f>
        <v>View Company Online</v>
      </c>
    </row>
    <row r="36" spans="1:14" x14ac:dyDescent="0.35">
      <c r="A36" s="5" t="s">
        <v>108</v>
      </c>
      <c r="B36" s="5" t="s">
        <v>26</v>
      </c>
      <c r="C36" s="5" t="s">
        <v>55</v>
      </c>
      <c r="D36" s="31">
        <v>2332</v>
      </c>
      <c r="E36" s="19">
        <v>45890</v>
      </c>
      <c r="F36" s="31">
        <v>6000</v>
      </c>
      <c r="G36" s="19">
        <v>45890</v>
      </c>
      <c r="H36" s="43">
        <v>29</v>
      </c>
      <c r="I36" s="43">
        <v>69</v>
      </c>
      <c r="J36" s="5" t="s">
        <v>109</v>
      </c>
      <c r="K36" s="5" t="s">
        <v>29</v>
      </c>
      <c r="L36" s="55">
        <v>2016</v>
      </c>
      <c r="M36" s="11" t="str">
        <f>HYPERLINK("http://www.nuro.ai", "www.nuro.ai")</f>
        <v>www.nuro.ai</v>
      </c>
      <c r="N36" s="11" t="str">
        <f>HYPERLINK("https://my.pitchbook.com?c=166438-45", "View Company Online")</f>
        <v>View Company Online</v>
      </c>
    </row>
    <row r="37" spans="1:14" x14ac:dyDescent="0.35">
      <c r="A37" s="6" t="s">
        <v>110</v>
      </c>
      <c r="B37" s="6" t="s">
        <v>26</v>
      </c>
      <c r="C37" s="6" t="s">
        <v>55</v>
      </c>
      <c r="D37" s="32">
        <v>2214</v>
      </c>
      <c r="E37" s="20">
        <v>46036</v>
      </c>
      <c r="F37" s="32">
        <v>14000</v>
      </c>
      <c r="G37" s="20">
        <v>46036</v>
      </c>
      <c r="H37" s="44">
        <v>7</v>
      </c>
      <c r="I37" s="44">
        <v>90</v>
      </c>
      <c r="J37" s="6" t="s">
        <v>111</v>
      </c>
      <c r="K37" s="6" t="s">
        <v>112</v>
      </c>
      <c r="L37" s="56">
        <v>2023</v>
      </c>
      <c r="M37" s="12" t="str">
        <f>HYPERLINK("http://www.skild.ai", "www.skild.ai")</f>
        <v>www.skild.ai</v>
      </c>
      <c r="N37" s="12" t="str">
        <f>HYPERLINK("https://my.pitchbook.com?c=608340-52", "View Company Online")</f>
        <v>View Company Online</v>
      </c>
    </row>
    <row r="38" spans="1:14" x14ac:dyDescent="0.35">
      <c r="A38" s="5" t="s">
        <v>113</v>
      </c>
      <c r="B38" s="6" t="s">
        <v>1192</v>
      </c>
      <c r="C38" s="5" t="s">
        <v>48</v>
      </c>
      <c r="D38" s="31">
        <v>2127.89</v>
      </c>
      <c r="E38" s="19">
        <v>45700</v>
      </c>
      <c r="F38" s="31">
        <v>8679.1</v>
      </c>
      <c r="G38" s="19">
        <v>43830</v>
      </c>
      <c r="H38" s="43" t="s">
        <v>24</v>
      </c>
      <c r="I38" s="43" t="s">
        <v>24</v>
      </c>
      <c r="J38" s="5" t="s">
        <v>114</v>
      </c>
      <c r="K38" s="5" t="s">
        <v>34</v>
      </c>
      <c r="L38" s="55">
        <v>2012</v>
      </c>
      <c r="M38" s="11" t="str">
        <f>HYPERLINK("http://jddglobal.com", "jddglobal.com")</f>
        <v>jddglobal.com</v>
      </c>
      <c r="N38" s="11" t="str">
        <f>HYPERLINK("https://my.pitchbook.com?c=152144-11", "View Company Online")</f>
        <v>View Company Online</v>
      </c>
    </row>
    <row r="39" spans="1:14" x14ac:dyDescent="0.35">
      <c r="A39" s="6" t="s">
        <v>115</v>
      </c>
      <c r="B39" s="6" t="s">
        <v>26</v>
      </c>
      <c r="C39" s="6" t="s">
        <v>55</v>
      </c>
      <c r="D39" s="32">
        <v>2098.96</v>
      </c>
      <c r="E39" s="20">
        <v>46093</v>
      </c>
      <c r="F39" s="32">
        <v>5876.7</v>
      </c>
      <c r="G39" s="20">
        <v>46093</v>
      </c>
      <c r="H39" s="44">
        <v>14</v>
      </c>
      <c r="I39" s="44">
        <v>84</v>
      </c>
      <c r="J39" s="6" t="s">
        <v>116</v>
      </c>
      <c r="K39" s="6" t="s">
        <v>117</v>
      </c>
      <c r="L39" s="56">
        <v>2019</v>
      </c>
      <c r="M39" s="12" t="str">
        <f>HYPERLINK("http://www.neura-robotics.com", "www.neura-robotics.com")</f>
        <v>www.neura-robotics.com</v>
      </c>
      <c r="N39" s="12" t="str">
        <f>HYPERLINK("https://my.pitchbook.com?c=459542-98", "View Company Online")</f>
        <v>View Company Online</v>
      </c>
    </row>
    <row r="40" spans="1:14" x14ac:dyDescent="0.35">
      <c r="A40" s="5" t="s">
        <v>118</v>
      </c>
      <c r="B40" s="5" t="s">
        <v>15</v>
      </c>
      <c r="C40" s="5" t="s">
        <v>16</v>
      </c>
      <c r="D40" s="31">
        <v>2000</v>
      </c>
      <c r="E40" s="19" t="s">
        <v>24</v>
      </c>
      <c r="F40" s="31">
        <v>50000</v>
      </c>
      <c r="G40" s="19" t="s">
        <v>24</v>
      </c>
      <c r="H40" s="43" t="s">
        <v>24</v>
      </c>
      <c r="I40" s="43" t="s">
        <v>24</v>
      </c>
      <c r="J40" s="5" t="s">
        <v>119</v>
      </c>
      <c r="K40" s="5" t="s">
        <v>18</v>
      </c>
      <c r="L40" s="55">
        <v>2024</v>
      </c>
      <c r="M40" s="11" t="str">
        <f>HYPERLINK("http://www.thinkingmachines.ai", "www.thinkingmachines.ai")</f>
        <v>www.thinkingmachines.ai</v>
      </c>
      <c r="N40" s="11" t="str">
        <f>HYPERLINK("https://my.pitchbook.com?c=752821-12", "View Company Online")</f>
        <v>View Company Online</v>
      </c>
    </row>
    <row r="41" spans="1:14" x14ac:dyDescent="0.35">
      <c r="A41" s="6" t="s">
        <v>120</v>
      </c>
      <c r="B41" s="6" t="s">
        <v>1192</v>
      </c>
      <c r="C41" s="6" t="s">
        <v>36</v>
      </c>
      <c r="D41" s="32">
        <v>1975.63</v>
      </c>
      <c r="E41" s="20">
        <v>45727</v>
      </c>
      <c r="F41" s="32">
        <v>3950</v>
      </c>
      <c r="G41" s="20">
        <v>44770</v>
      </c>
      <c r="H41" s="44">
        <v>6</v>
      </c>
      <c r="I41" s="44">
        <v>92</v>
      </c>
      <c r="J41" s="6" t="s">
        <v>121</v>
      </c>
      <c r="K41" s="6" t="s">
        <v>122</v>
      </c>
      <c r="L41" s="56">
        <v>2013</v>
      </c>
      <c r="M41" s="12" t="str">
        <f>HYPERLINK("http://www.indigoag.com", "www.indigoag.com")</f>
        <v>www.indigoag.com</v>
      </c>
      <c r="N41" s="12" t="str">
        <f>HYPERLINK("https://my.pitchbook.com?c=99446-23", "View Company Online")</f>
        <v>View Company Online</v>
      </c>
    </row>
    <row r="42" spans="1:14" x14ac:dyDescent="0.35">
      <c r="A42" s="5" t="s">
        <v>123</v>
      </c>
      <c r="B42" s="6" t="s">
        <v>1192</v>
      </c>
      <c r="C42" s="5" t="s">
        <v>36</v>
      </c>
      <c r="D42" s="31">
        <v>1812.12</v>
      </c>
      <c r="E42" s="19">
        <v>45930</v>
      </c>
      <c r="F42" s="31">
        <v>1000</v>
      </c>
      <c r="G42" s="19">
        <v>44600</v>
      </c>
      <c r="H42" s="43">
        <v>73</v>
      </c>
      <c r="I42" s="43">
        <v>23</v>
      </c>
      <c r="J42" s="5" t="s">
        <v>124</v>
      </c>
      <c r="K42" s="5" t="s">
        <v>125</v>
      </c>
      <c r="L42" s="55">
        <v>2009</v>
      </c>
      <c r="M42" s="11" t="str">
        <f>HYPERLINK("http://www.palmetto.com", "www.palmetto.com")</f>
        <v>www.palmetto.com</v>
      </c>
      <c r="N42" s="11" t="str">
        <f>HYPERLINK("https://my.pitchbook.com?c=155667-61", "View Company Online")</f>
        <v>View Company Online</v>
      </c>
    </row>
    <row r="43" spans="1:14" x14ac:dyDescent="0.35">
      <c r="A43" s="6" t="s">
        <v>126</v>
      </c>
      <c r="B43" s="6" t="s">
        <v>1192</v>
      </c>
      <c r="C43" s="6" t="s">
        <v>31</v>
      </c>
      <c r="D43" s="32">
        <v>1713.67</v>
      </c>
      <c r="E43" s="20">
        <v>45911</v>
      </c>
      <c r="F43" s="32">
        <v>20000</v>
      </c>
      <c r="G43" s="20">
        <v>45911</v>
      </c>
      <c r="H43" s="44">
        <v>4</v>
      </c>
      <c r="I43" s="44">
        <v>89</v>
      </c>
      <c r="J43" s="6" t="s">
        <v>127</v>
      </c>
      <c r="K43" s="6" t="s">
        <v>18</v>
      </c>
      <c r="L43" s="56">
        <v>2022</v>
      </c>
      <c r="M43" s="12" t="str">
        <f>HYPERLINK("http://www.perplexity.ai", "www.perplexity.ai")</f>
        <v>www.perplexity.ai</v>
      </c>
      <c r="N43" s="12" t="str">
        <f>HYPERLINK("https://my.pitchbook.com?c=517947-04", "View Company Online")</f>
        <v>View Company Online</v>
      </c>
    </row>
    <row r="44" spans="1:14" x14ac:dyDescent="0.35">
      <c r="A44" s="5" t="s">
        <v>128</v>
      </c>
      <c r="B44" s="6" t="s">
        <v>1192</v>
      </c>
      <c r="C44" s="5" t="s">
        <v>48</v>
      </c>
      <c r="D44" s="31">
        <v>1710.8</v>
      </c>
      <c r="E44" s="19">
        <v>45426</v>
      </c>
      <c r="F44" s="31">
        <v>796.8</v>
      </c>
      <c r="G44" s="19">
        <v>45426</v>
      </c>
      <c r="H44" s="43">
        <v>79</v>
      </c>
      <c r="I44" s="43">
        <v>7</v>
      </c>
      <c r="J44" s="5" t="s">
        <v>129</v>
      </c>
      <c r="K44" s="5" t="s">
        <v>130</v>
      </c>
      <c r="L44" s="55">
        <v>2016</v>
      </c>
      <c r="M44" s="11" t="str">
        <f>HYPERLINK("http://tilt.com", "tilt.com")</f>
        <v>tilt.com</v>
      </c>
      <c r="N44" s="11" t="str">
        <f>HYPERLINK("https://my.pitchbook.com?c=180802-27", "View Company Online")</f>
        <v>View Company Online</v>
      </c>
    </row>
    <row r="45" spans="1:14" x14ac:dyDescent="0.35">
      <c r="A45" s="6" t="s">
        <v>131</v>
      </c>
      <c r="B45" s="6" t="s">
        <v>1192</v>
      </c>
      <c r="C45" s="6" t="s">
        <v>44</v>
      </c>
      <c r="D45" s="32">
        <v>1700.09</v>
      </c>
      <c r="E45" s="20">
        <v>46031</v>
      </c>
      <c r="F45" s="32">
        <v>9000</v>
      </c>
      <c r="G45" s="20">
        <v>46031</v>
      </c>
      <c r="H45" s="44">
        <v>8</v>
      </c>
      <c r="I45" s="44">
        <v>90</v>
      </c>
      <c r="J45" s="6" t="s">
        <v>132</v>
      </c>
      <c r="K45" s="6" t="s">
        <v>90</v>
      </c>
      <c r="L45" s="56">
        <v>2021</v>
      </c>
      <c r="M45" s="12" t="str">
        <f>HYPERLINK("http://www.cyera.com", "www.cyera.com")</f>
        <v>www.cyera.com</v>
      </c>
      <c r="N45" s="12" t="str">
        <f>HYPERLINK("https://my.pitchbook.com?c=494076-70", "View Company Online")</f>
        <v>View Company Online</v>
      </c>
    </row>
    <row r="46" spans="1:14" x14ac:dyDescent="0.35">
      <c r="A46" s="5" t="s">
        <v>133</v>
      </c>
      <c r="B46" s="5" t="s">
        <v>26</v>
      </c>
      <c r="C46" s="5" t="s">
        <v>55</v>
      </c>
      <c r="D46" s="31">
        <v>1660.35</v>
      </c>
      <c r="E46" s="19" t="s">
        <v>24</v>
      </c>
      <c r="F46" s="31">
        <v>12000</v>
      </c>
      <c r="G46" s="19" t="s">
        <v>24</v>
      </c>
      <c r="H46" s="43">
        <v>10</v>
      </c>
      <c r="I46" s="43">
        <v>88</v>
      </c>
      <c r="J46" s="5" t="s">
        <v>134</v>
      </c>
      <c r="K46" s="5" t="s">
        <v>135</v>
      </c>
      <c r="L46" s="55">
        <v>2015</v>
      </c>
      <c r="M46" s="11" t="str">
        <f>HYPERLINK("http://www.shield.ai", "www.shield.ai")</f>
        <v>www.shield.ai</v>
      </c>
      <c r="N46" s="11" t="str">
        <f>HYPERLINK("https://my.pitchbook.com?c=126184-96", "View Company Online")</f>
        <v>View Company Online</v>
      </c>
    </row>
    <row r="47" spans="1:14" x14ac:dyDescent="0.35">
      <c r="A47" s="6" t="s">
        <v>136</v>
      </c>
      <c r="B47" s="6" t="s">
        <v>15</v>
      </c>
      <c r="C47" s="6" t="s">
        <v>16</v>
      </c>
      <c r="D47" s="32">
        <v>1640</v>
      </c>
      <c r="E47" s="20">
        <v>45924</v>
      </c>
      <c r="F47" s="32">
        <v>7000</v>
      </c>
      <c r="G47" s="20">
        <v>45924</v>
      </c>
      <c r="H47" s="44">
        <v>12</v>
      </c>
      <c r="I47" s="44">
        <v>86</v>
      </c>
      <c r="J47" s="6" t="s">
        <v>137</v>
      </c>
      <c r="K47" s="6" t="s">
        <v>138</v>
      </c>
      <c r="L47" s="56">
        <v>2019</v>
      </c>
      <c r="M47" s="12" t="str">
        <f>HYPERLINK("http://www.cohere.com", "www.cohere.com")</f>
        <v>www.cohere.com</v>
      </c>
      <c r="N47" s="12" t="str">
        <f>HYPERLINK("https://my.pitchbook.com?c=443089-09", "View Company Online")</f>
        <v>View Company Online</v>
      </c>
    </row>
    <row r="48" spans="1:14" x14ac:dyDescent="0.35">
      <c r="A48" s="5" t="s">
        <v>139</v>
      </c>
      <c r="B48" s="5" t="s">
        <v>15</v>
      </c>
      <c r="C48" s="5" t="s">
        <v>22</v>
      </c>
      <c r="D48" s="31">
        <v>1625.98</v>
      </c>
      <c r="E48" s="19">
        <v>45869</v>
      </c>
      <c r="F48" s="31">
        <v>4000</v>
      </c>
      <c r="G48" s="19">
        <v>45454</v>
      </c>
      <c r="H48" s="43">
        <v>2</v>
      </c>
      <c r="I48" s="43">
        <v>96</v>
      </c>
      <c r="J48" s="5" t="s">
        <v>140</v>
      </c>
      <c r="K48" s="5" t="s">
        <v>90</v>
      </c>
      <c r="L48" s="55">
        <v>2011</v>
      </c>
      <c r="M48" s="11" t="str">
        <f>HYPERLINK("http://www.alpha-sense.com", "www.alpha-sense.com")</f>
        <v>www.alpha-sense.com</v>
      </c>
      <c r="N48" s="11" t="str">
        <f>HYPERLINK("https://my.pitchbook.com?c=81979-84", "View Company Online")</f>
        <v>View Company Online</v>
      </c>
    </row>
    <row r="49" spans="1:14" x14ac:dyDescent="0.35">
      <c r="A49" s="6" t="s">
        <v>141</v>
      </c>
      <c r="B49" s="6" t="s">
        <v>15</v>
      </c>
      <c r="C49" s="6" t="s">
        <v>16</v>
      </c>
      <c r="D49" s="32">
        <v>1565</v>
      </c>
      <c r="E49" s="20">
        <v>45106</v>
      </c>
      <c r="F49" s="32">
        <v>4000</v>
      </c>
      <c r="G49" s="20">
        <v>45106</v>
      </c>
      <c r="H49" s="44">
        <v>62</v>
      </c>
      <c r="I49" s="44">
        <v>36</v>
      </c>
      <c r="J49" s="6" t="s">
        <v>142</v>
      </c>
      <c r="K49" s="6" t="s">
        <v>83</v>
      </c>
      <c r="L49" s="56">
        <v>2022</v>
      </c>
      <c r="M49" s="12" t="str">
        <f>HYPERLINK("http://www.inflection.ai", "www.inflection.ai")</f>
        <v>www.inflection.ai</v>
      </c>
      <c r="N49" s="12" t="str">
        <f>HYPERLINK("https://my.pitchbook.com?c=493962-67", "View Company Online")</f>
        <v>View Company Online</v>
      </c>
    </row>
    <row r="50" spans="1:14" x14ac:dyDescent="0.35">
      <c r="A50" s="5" t="s">
        <v>143</v>
      </c>
      <c r="B50" s="5" t="s">
        <v>26</v>
      </c>
      <c r="C50" s="5" t="s">
        <v>27</v>
      </c>
      <c r="D50" s="31">
        <v>1527.86</v>
      </c>
      <c r="E50" s="19">
        <v>45941</v>
      </c>
      <c r="F50" s="31">
        <v>4000</v>
      </c>
      <c r="G50" s="19">
        <v>44347</v>
      </c>
      <c r="H50" s="43" t="s">
        <v>24</v>
      </c>
      <c r="I50" s="43" t="s">
        <v>24</v>
      </c>
      <c r="J50" s="5" t="s">
        <v>144</v>
      </c>
      <c r="K50" s="5" t="s">
        <v>34</v>
      </c>
      <c r="L50" s="55">
        <v>2019</v>
      </c>
      <c r="M50" s="5" t="s">
        <v>24</v>
      </c>
      <c r="N50" s="11" t="str">
        <f>HYPERLINK("https://my.pitchbook.com?c=435594-61", "View Company Online")</f>
        <v>View Company Online</v>
      </c>
    </row>
    <row r="51" spans="1:14" x14ac:dyDescent="0.35">
      <c r="A51" s="6" t="s">
        <v>145</v>
      </c>
      <c r="B51" s="6" t="s">
        <v>1192</v>
      </c>
      <c r="C51" s="6" t="s">
        <v>44</v>
      </c>
      <c r="D51" s="32">
        <v>1511.35</v>
      </c>
      <c r="E51" s="20">
        <v>45825</v>
      </c>
      <c r="F51" s="32">
        <v>13659.01</v>
      </c>
      <c r="G51" s="20">
        <v>45825</v>
      </c>
      <c r="H51" s="44">
        <v>59</v>
      </c>
      <c r="I51" s="44">
        <v>39</v>
      </c>
      <c r="J51" s="6" t="s">
        <v>146</v>
      </c>
      <c r="K51" s="6" t="s">
        <v>147</v>
      </c>
      <c r="L51" s="56">
        <v>2021</v>
      </c>
      <c r="M51" s="12" t="str">
        <f>HYPERLINK("http://www.helsing.ai", "www.helsing.ai")</f>
        <v>www.helsing.ai</v>
      </c>
      <c r="N51" s="12" t="str">
        <f>HYPERLINK("https://my.pitchbook.com?c=481513-60", "View Company Online")</f>
        <v>View Company Online</v>
      </c>
    </row>
    <row r="52" spans="1:14" x14ac:dyDescent="0.35">
      <c r="A52" s="5" t="s">
        <v>148</v>
      </c>
      <c r="B52" s="6" t="s">
        <v>1192</v>
      </c>
      <c r="C52" s="5" t="s">
        <v>31</v>
      </c>
      <c r="D52" s="31">
        <v>1511.29</v>
      </c>
      <c r="E52" s="19">
        <v>45978</v>
      </c>
      <c r="F52" s="31">
        <v>5200</v>
      </c>
      <c r="G52" s="19">
        <v>45978</v>
      </c>
      <c r="H52" s="43">
        <v>28</v>
      </c>
      <c r="I52" s="43">
        <v>70</v>
      </c>
      <c r="J52" s="5" t="s">
        <v>149</v>
      </c>
      <c r="K52" s="5" t="s">
        <v>18</v>
      </c>
      <c r="L52" s="55">
        <v>2017</v>
      </c>
      <c r="M52" s="11" t="str">
        <f>HYPERLINK("http://www.faire.com", "www.faire.com")</f>
        <v>www.faire.com</v>
      </c>
      <c r="N52" s="11" t="str">
        <f>HYPERLINK("https://my.pitchbook.com?c=174742-39", "View Company Online")</f>
        <v>View Company Online</v>
      </c>
    </row>
    <row r="53" spans="1:14" x14ac:dyDescent="0.35">
      <c r="A53" s="6" t="s">
        <v>150</v>
      </c>
      <c r="B53" s="6" t="s">
        <v>39</v>
      </c>
      <c r="C53" s="6" t="s">
        <v>40</v>
      </c>
      <c r="D53" s="32">
        <v>1488.04</v>
      </c>
      <c r="E53" s="20">
        <v>46077</v>
      </c>
      <c r="F53" s="32">
        <v>5000</v>
      </c>
      <c r="G53" s="20">
        <v>46044</v>
      </c>
      <c r="H53" s="44">
        <v>23</v>
      </c>
      <c r="I53" s="44">
        <v>75</v>
      </c>
      <c r="J53" s="6" t="s">
        <v>151</v>
      </c>
      <c r="K53" s="6" t="s">
        <v>79</v>
      </c>
      <c r="L53" s="56">
        <v>2017</v>
      </c>
      <c r="M53" s="12" t="str">
        <f>HYPERLINK("http://www.sambanova.ai", "www.sambanova.ai")</f>
        <v>www.sambanova.ai</v>
      </c>
      <c r="N53" s="12" t="str">
        <f>HYPERLINK("https://my.pitchbook.com?c=226766-53", "View Company Online")</f>
        <v>View Company Online</v>
      </c>
    </row>
    <row r="54" spans="1:14" x14ac:dyDescent="0.35">
      <c r="A54" s="5" t="s">
        <v>152</v>
      </c>
      <c r="B54" s="5" t="s">
        <v>26</v>
      </c>
      <c r="C54" s="5" t="s">
        <v>27</v>
      </c>
      <c r="D54" s="31">
        <v>1455.32</v>
      </c>
      <c r="E54" s="19">
        <v>45716</v>
      </c>
      <c r="F54" s="31">
        <v>4104.8100000000004</v>
      </c>
      <c r="G54" s="19">
        <v>43950</v>
      </c>
      <c r="H54" s="43" t="s">
        <v>24</v>
      </c>
      <c r="I54" s="43" t="s">
        <v>24</v>
      </c>
      <c r="J54" s="5" t="s">
        <v>153</v>
      </c>
      <c r="K54" s="5" t="s">
        <v>154</v>
      </c>
      <c r="L54" s="55">
        <v>2017</v>
      </c>
      <c r="M54" s="5" t="s">
        <v>24</v>
      </c>
      <c r="N54" s="11" t="str">
        <f>HYPERLINK("https://my.pitchbook.com?c=434628-28", "View Company Online")</f>
        <v>View Company Online</v>
      </c>
    </row>
    <row r="55" spans="1:14" x14ac:dyDescent="0.35">
      <c r="A55" s="6" t="s">
        <v>155</v>
      </c>
      <c r="B55" s="6" t="s">
        <v>15</v>
      </c>
      <c r="C55" s="6" t="s">
        <v>156</v>
      </c>
      <c r="D55" s="32">
        <v>1447.83</v>
      </c>
      <c r="E55" s="20">
        <v>45901</v>
      </c>
      <c r="F55" s="32">
        <v>4100</v>
      </c>
      <c r="G55" s="20">
        <v>44278</v>
      </c>
      <c r="H55" s="44">
        <v>19</v>
      </c>
      <c r="I55" s="44">
        <v>79</v>
      </c>
      <c r="J55" s="6" t="s">
        <v>157</v>
      </c>
      <c r="K55" s="6" t="s">
        <v>90</v>
      </c>
      <c r="L55" s="56">
        <v>2009</v>
      </c>
      <c r="M55" s="12" t="str">
        <f>HYPERLINK("http://www.dataminr.com", "www.dataminr.com")</f>
        <v>www.dataminr.com</v>
      </c>
      <c r="N55" s="12" t="str">
        <f>HYPERLINK("https://my.pitchbook.com?c=55319-68", "View Company Online")</f>
        <v>View Company Online</v>
      </c>
    </row>
    <row r="56" spans="1:14" x14ac:dyDescent="0.35">
      <c r="A56" s="5" t="s">
        <v>158</v>
      </c>
      <c r="B56" s="6" t="s">
        <v>1192</v>
      </c>
      <c r="C56" s="5" t="s">
        <v>159</v>
      </c>
      <c r="D56" s="31">
        <v>1427.35</v>
      </c>
      <c r="E56" s="19">
        <v>45996</v>
      </c>
      <c r="F56" s="31">
        <v>2200</v>
      </c>
      <c r="G56" s="19">
        <v>45337</v>
      </c>
      <c r="H56" s="43">
        <v>13</v>
      </c>
      <c r="I56" s="43">
        <v>83</v>
      </c>
      <c r="J56" s="5" t="s">
        <v>160</v>
      </c>
      <c r="K56" s="5" t="s">
        <v>161</v>
      </c>
      <c r="L56" s="55">
        <v>2014</v>
      </c>
      <c r="M56" s="11" t="str">
        <f>HYPERLINK("http://www.freenome.com", "www.freenome.com")</f>
        <v>www.freenome.com</v>
      </c>
      <c r="N56" s="11" t="str">
        <f>HYPERLINK("https://my.pitchbook.com?c=126490-60", "View Company Online")</f>
        <v>View Company Online</v>
      </c>
    </row>
    <row r="57" spans="1:14" x14ac:dyDescent="0.35">
      <c r="A57" s="6" t="s">
        <v>162</v>
      </c>
      <c r="B57" s="6" t="s">
        <v>1192</v>
      </c>
      <c r="C57" s="6" t="s">
        <v>31</v>
      </c>
      <c r="D57" s="32">
        <v>1422.4</v>
      </c>
      <c r="E57" s="20">
        <v>45292</v>
      </c>
      <c r="F57" s="32">
        <v>5686.4</v>
      </c>
      <c r="G57" s="20">
        <v>44757</v>
      </c>
      <c r="H57" s="44">
        <v>55</v>
      </c>
      <c r="I57" s="44">
        <v>43</v>
      </c>
      <c r="J57" s="6" t="s">
        <v>163</v>
      </c>
      <c r="K57" s="6" t="s">
        <v>99</v>
      </c>
      <c r="L57" s="56">
        <v>2008</v>
      </c>
      <c r="M57" s="12" t="str">
        <f>HYPERLINK("http://www.contentsquare.com", "www.contentsquare.com")</f>
        <v>www.contentsquare.com</v>
      </c>
      <c r="N57" s="12" t="str">
        <f>HYPERLINK("https://my.pitchbook.com?c=219719-08", "View Company Online")</f>
        <v>View Company Online</v>
      </c>
    </row>
    <row r="58" spans="1:14" x14ac:dyDescent="0.35">
      <c r="A58" s="5" t="s">
        <v>164</v>
      </c>
      <c r="B58" s="5" t="s">
        <v>26</v>
      </c>
      <c r="C58" s="5" t="s">
        <v>27</v>
      </c>
      <c r="D58" s="31">
        <v>1399.02</v>
      </c>
      <c r="E58" s="19">
        <v>45982</v>
      </c>
      <c r="F58" s="31">
        <v>6000</v>
      </c>
      <c r="G58" s="19">
        <v>45960</v>
      </c>
      <c r="H58" s="43" t="s">
        <v>24</v>
      </c>
      <c r="I58" s="43" t="s">
        <v>24</v>
      </c>
      <c r="J58" s="5" t="s">
        <v>165</v>
      </c>
      <c r="K58" s="5" t="s">
        <v>34</v>
      </c>
      <c r="L58" s="55">
        <v>2016</v>
      </c>
      <c r="M58" s="11" t="str">
        <f>HYPERLINK("http://www.momenta.ai", "www.momenta.ai")</f>
        <v>www.momenta.ai</v>
      </c>
      <c r="N58" s="11" t="str">
        <f>HYPERLINK("https://my.pitchbook.com?c=172222-03", "View Company Online")</f>
        <v>View Company Online</v>
      </c>
    </row>
    <row r="59" spans="1:14" x14ac:dyDescent="0.35">
      <c r="A59" s="6" t="s">
        <v>166</v>
      </c>
      <c r="B59" s="6" t="s">
        <v>15</v>
      </c>
      <c r="C59" s="6" t="s">
        <v>22</v>
      </c>
      <c r="D59" s="32">
        <v>1398</v>
      </c>
      <c r="E59" s="20">
        <v>45935</v>
      </c>
      <c r="F59" s="32">
        <v>30000</v>
      </c>
      <c r="G59" s="20">
        <v>45935</v>
      </c>
      <c r="H59" s="44">
        <v>13</v>
      </c>
      <c r="I59" s="44">
        <v>85</v>
      </c>
      <c r="J59" s="6" t="s">
        <v>167</v>
      </c>
      <c r="K59" s="6" t="s">
        <v>90</v>
      </c>
      <c r="L59" s="56">
        <v>2016</v>
      </c>
      <c r="M59" s="12" t="str">
        <f>HYPERLINK("http://www.vastdata.com", "www.vastdata.com")</f>
        <v>www.vastdata.com</v>
      </c>
      <c r="N59" s="12" t="str">
        <f>HYPERLINK("https://my.pitchbook.com?c=182186-74", "View Company Online")</f>
        <v>View Company Online</v>
      </c>
    </row>
    <row r="60" spans="1:14" x14ac:dyDescent="0.35">
      <c r="A60" s="5" t="s">
        <v>168</v>
      </c>
      <c r="B60" s="6" t="s">
        <v>1192</v>
      </c>
      <c r="C60" s="5" t="s">
        <v>48</v>
      </c>
      <c r="D60" s="31">
        <v>1385</v>
      </c>
      <c r="E60" s="19">
        <v>45947</v>
      </c>
      <c r="F60" s="31">
        <v>3100</v>
      </c>
      <c r="G60" s="19">
        <v>45947</v>
      </c>
      <c r="H60" s="43">
        <v>19</v>
      </c>
      <c r="I60" s="43">
        <v>79</v>
      </c>
      <c r="J60" s="5" t="s">
        <v>169</v>
      </c>
      <c r="K60" s="5" t="s">
        <v>170</v>
      </c>
      <c r="L60" s="55">
        <v>2022</v>
      </c>
      <c r="M60" s="11" t="str">
        <f>HYPERLINK("http://www.platacard.mx", "www.platacard.mx")</f>
        <v>www.platacard.mx</v>
      </c>
      <c r="N60" s="11" t="str">
        <f>HYPERLINK("https://my.pitchbook.com?c=535744-72", "View Company Online")</f>
        <v>View Company Online</v>
      </c>
    </row>
    <row r="61" spans="1:14" x14ac:dyDescent="0.35">
      <c r="A61" s="6" t="s">
        <v>171</v>
      </c>
      <c r="B61" s="6" t="s">
        <v>1192</v>
      </c>
      <c r="C61" s="6" t="s">
        <v>48</v>
      </c>
      <c r="D61" s="32">
        <v>1376.8</v>
      </c>
      <c r="E61" s="20">
        <v>45806</v>
      </c>
      <c r="F61" s="32" t="s">
        <v>24</v>
      </c>
      <c r="G61" s="20" t="s">
        <v>24</v>
      </c>
      <c r="H61" s="44">
        <v>45</v>
      </c>
      <c r="I61" s="44">
        <v>51</v>
      </c>
      <c r="J61" s="6" t="s">
        <v>172</v>
      </c>
      <c r="K61" s="6" t="s">
        <v>68</v>
      </c>
      <c r="L61" s="56">
        <v>2020</v>
      </c>
      <c r="M61" s="12" t="str">
        <f>HYPERLINK("http://www.getabound.com", "www.getabound.com")</f>
        <v>www.getabound.com</v>
      </c>
      <c r="N61" s="12" t="str">
        <f>HYPERLINK("https://my.pitchbook.com?c=438531-22", "View Company Online")</f>
        <v>View Company Online</v>
      </c>
    </row>
    <row r="62" spans="1:14" x14ac:dyDescent="0.35">
      <c r="A62" s="5" t="s">
        <v>173</v>
      </c>
      <c r="B62" s="6" t="s">
        <v>1192</v>
      </c>
      <c r="C62" s="5" t="s">
        <v>44</v>
      </c>
      <c r="D62" s="31">
        <v>1354.6</v>
      </c>
      <c r="E62" s="19">
        <v>45292</v>
      </c>
      <c r="F62" s="31">
        <v>11735</v>
      </c>
      <c r="G62" s="19">
        <v>44543</v>
      </c>
      <c r="H62" s="43">
        <v>21</v>
      </c>
      <c r="I62" s="43">
        <v>77</v>
      </c>
      <c r="J62" s="5" t="s">
        <v>174</v>
      </c>
      <c r="K62" s="5" t="s">
        <v>18</v>
      </c>
      <c r="L62" s="55">
        <v>2012</v>
      </c>
      <c r="M62" s="11" t="str">
        <f>HYPERLINK("http://www.airtable.com", "www.airtable.com")</f>
        <v>www.airtable.com</v>
      </c>
      <c r="N62" s="11" t="str">
        <f>HYPERLINK("https://my.pitchbook.com?c=100744-84", "View Company Online")</f>
        <v>View Company Online</v>
      </c>
    </row>
    <row r="63" spans="1:14" x14ac:dyDescent="0.35">
      <c r="A63" s="6" t="s">
        <v>175</v>
      </c>
      <c r="B63" s="6" t="s">
        <v>39</v>
      </c>
      <c r="C63" s="6" t="s">
        <v>40</v>
      </c>
      <c r="D63" s="32">
        <v>1344.86</v>
      </c>
      <c r="E63" s="20">
        <v>45807</v>
      </c>
      <c r="F63" s="32">
        <v>2821.48</v>
      </c>
      <c r="G63" s="20">
        <v>45093</v>
      </c>
      <c r="H63" s="44" t="s">
        <v>24</v>
      </c>
      <c r="I63" s="44" t="s">
        <v>24</v>
      </c>
      <c r="J63" s="6" t="s">
        <v>176</v>
      </c>
      <c r="K63" s="6" t="s">
        <v>34</v>
      </c>
      <c r="L63" s="56">
        <v>2016</v>
      </c>
      <c r="M63" s="12" t="str">
        <f>HYPERLINK("http://www.eswincomputing.com", "www.eswincomputing.com")</f>
        <v>www.eswincomputing.com</v>
      </c>
      <c r="N63" s="12" t="str">
        <f>HYPERLINK("https://my.pitchbook.com?c=343218-70", "View Company Online")</f>
        <v>View Company Online</v>
      </c>
    </row>
    <row r="64" spans="1:14" x14ac:dyDescent="0.35">
      <c r="A64" s="5" t="s">
        <v>177</v>
      </c>
      <c r="B64" s="5" t="s">
        <v>39</v>
      </c>
      <c r="C64" s="5" t="s">
        <v>178</v>
      </c>
      <c r="D64" s="31">
        <v>1337.14</v>
      </c>
      <c r="E64" s="19">
        <v>45810</v>
      </c>
      <c r="F64" s="31">
        <v>9650</v>
      </c>
      <c r="G64" s="19">
        <v>45810</v>
      </c>
      <c r="H64" s="43">
        <v>13</v>
      </c>
      <c r="I64" s="43">
        <v>85</v>
      </c>
      <c r="J64" s="5" t="s">
        <v>179</v>
      </c>
      <c r="K64" s="5" t="s">
        <v>180</v>
      </c>
      <c r="L64" s="55">
        <v>2016</v>
      </c>
      <c r="M64" s="11" t="str">
        <f>HYPERLINK("http://www.neuralink.com", "www.neuralink.com")</f>
        <v>www.neuralink.com</v>
      </c>
      <c r="N64" s="11" t="str">
        <f>HYPERLINK("https://my.pitchbook.com?c=179115-22", "View Company Online")</f>
        <v>View Company Online</v>
      </c>
    </row>
    <row r="65" spans="1:14" x14ac:dyDescent="0.35">
      <c r="A65" s="6" t="s">
        <v>181</v>
      </c>
      <c r="B65" s="6" t="s">
        <v>1192</v>
      </c>
      <c r="C65" s="6" t="s">
        <v>48</v>
      </c>
      <c r="D65" s="32">
        <v>1302.1300000000001</v>
      </c>
      <c r="E65" s="20">
        <v>45335</v>
      </c>
      <c r="F65" s="32">
        <v>4041.44</v>
      </c>
      <c r="G65" s="20">
        <v>44495</v>
      </c>
      <c r="H65" s="44">
        <v>73</v>
      </c>
      <c r="I65" s="44">
        <v>23</v>
      </c>
      <c r="J65" s="6" t="s">
        <v>182</v>
      </c>
      <c r="K65" s="6" t="s">
        <v>183</v>
      </c>
      <c r="L65" s="56">
        <v>2018</v>
      </c>
      <c r="M65" s="12" t="str">
        <f>HYPERLINK("http://www.missionlane.com", "www.missionlane.com")</f>
        <v>www.missionlane.com</v>
      </c>
      <c r="N65" s="12" t="str">
        <f>HYPERLINK("https://my.pitchbook.com?c=146594-89", "View Company Online")</f>
        <v>View Company Online</v>
      </c>
    </row>
    <row r="66" spans="1:14" x14ac:dyDescent="0.35">
      <c r="A66" s="5" t="s">
        <v>184</v>
      </c>
      <c r="B66" s="6" t="s">
        <v>1192</v>
      </c>
      <c r="C66" s="5" t="s">
        <v>159</v>
      </c>
      <c r="D66" s="31">
        <v>1300</v>
      </c>
      <c r="E66" s="19">
        <v>45884</v>
      </c>
      <c r="F66" s="31">
        <v>3550</v>
      </c>
      <c r="G66" s="19">
        <v>45884</v>
      </c>
      <c r="H66" s="43">
        <v>35</v>
      </c>
      <c r="I66" s="43">
        <v>63</v>
      </c>
      <c r="J66" s="5" t="s">
        <v>185</v>
      </c>
      <c r="K66" s="5" t="s">
        <v>50</v>
      </c>
      <c r="L66" s="55">
        <v>2023</v>
      </c>
      <c r="M66" s="11" t="str">
        <f>HYPERLINK("http://www.xaira.com", "www.xaira.com")</f>
        <v>www.xaira.com</v>
      </c>
      <c r="N66" s="11" t="str">
        <f>HYPERLINK("https://my.pitchbook.com?c=596025-73", "View Company Online")</f>
        <v>View Company Online</v>
      </c>
    </row>
    <row r="67" spans="1:14" x14ac:dyDescent="0.35">
      <c r="A67" s="6" t="s">
        <v>186</v>
      </c>
      <c r="B67" s="6" t="s">
        <v>15</v>
      </c>
      <c r="C67" s="6" t="s">
        <v>22</v>
      </c>
      <c r="D67" s="32">
        <v>1297.27</v>
      </c>
      <c r="E67" s="20">
        <v>45608</v>
      </c>
      <c r="F67" s="32" t="s">
        <v>24</v>
      </c>
      <c r="G67" s="20" t="s">
        <v>24</v>
      </c>
      <c r="H67" s="44" t="s">
        <v>24</v>
      </c>
      <c r="I67" s="44" t="s">
        <v>24</v>
      </c>
      <c r="J67" s="6" t="s">
        <v>187</v>
      </c>
      <c r="K67" s="6" t="s">
        <v>68</v>
      </c>
      <c r="L67" s="56">
        <v>2023</v>
      </c>
      <c r="M67" s="12" t="str">
        <f>HYPERLINK("http://www.greenscaledc.com", "www.greenscaledc.com")</f>
        <v>www.greenscaledc.com</v>
      </c>
      <c r="N67" s="12" t="str">
        <f>HYPERLINK("https://my.pitchbook.com?c=707878-63", "View Company Online")</f>
        <v>View Company Online</v>
      </c>
    </row>
    <row r="68" spans="1:14" x14ac:dyDescent="0.35">
      <c r="A68" s="5" t="s">
        <v>188</v>
      </c>
      <c r="B68" s="5" t="s">
        <v>15</v>
      </c>
      <c r="C68" s="5" t="s">
        <v>16</v>
      </c>
      <c r="D68" s="31">
        <v>1291.5</v>
      </c>
      <c r="E68" s="19">
        <v>46071</v>
      </c>
      <c r="F68" s="31">
        <v>5400</v>
      </c>
      <c r="G68" s="19">
        <v>46071</v>
      </c>
      <c r="H68" s="43">
        <v>79</v>
      </c>
      <c r="I68" s="43">
        <v>19</v>
      </c>
      <c r="J68" s="5" t="s">
        <v>189</v>
      </c>
      <c r="K68" s="5" t="s">
        <v>18</v>
      </c>
      <c r="L68" s="55">
        <v>2023</v>
      </c>
      <c r="M68" s="11" t="str">
        <f>HYPERLINK("http://www.worldlabs.ai", "www.worldlabs.ai")</f>
        <v>www.worldlabs.ai</v>
      </c>
      <c r="N68" s="11" t="str">
        <f>HYPERLINK("https://my.pitchbook.com?c=608754-43", "View Company Online")</f>
        <v>View Company Online</v>
      </c>
    </row>
    <row r="69" spans="1:14" x14ac:dyDescent="0.35">
      <c r="A69" s="6" t="s">
        <v>190</v>
      </c>
      <c r="B69" s="6" t="s">
        <v>1192</v>
      </c>
      <c r="C69" s="6" t="s">
        <v>48</v>
      </c>
      <c r="D69" s="32">
        <v>1288</v>
      </c>
      <c r="E69" s="20">
        <v>45737</v>
      </c>
      <c r="F69" s="32">
        <v>1400</v>
      </c>
      <c r="G69" s="20">
        <v>44977</v>
      </c>
      <c r="H69" s="44">
        <v>42</v>
      </c>
      <c r="I69" s="44">
        <v>56</v>
      </c>
      <c r="J69" s="6" t="s">
        <v>191</v>
      </c>
      <c r="K69" s="6" t="s">
        <v>90</v>
      </c>
      <c r="L69" s="56">
        <v>2017</v>
      </c>
      <c r="M69" s="12" t="str">
        <f>HYPERLINK("http://www.liquidity.com", "www.liquidity.com")</f>
        <v>www.liquidity.com</v>
      </c>
      <c r="N69" s="12" t="str">
        <f>HYPERLINK("https://my.pitchbook.com?c=264599-92", "View Company Online")</f>
        <v>View Company Online</v>
      </c>
    </row>
    <row r="70" spans="1:14" x14ac:dyDescent="0.35">
      <c r="A70" s="5" t="s">
        <v>192</v>
      </c>
      <c r="B70" s="5" t="s">
        <v>15</v>
      </c>
      <c r="C70" s="5" t="s">
        <v>193</v>
      </c>
      <c r="D70" s="31">
        <v>1258.1600000000001</v>
      </c>
      <c r="E70" s="19">
        <v>45752</v>
      </c>
      <c r="F70" s="31">
        <v>4000</v>
      </c>
      <c r="G70" s="19">
        <v>43593</v>
      </c>
      <c r="H70" s="43" t="s">
        <v>24</v>
      </c>
      <c r="I70" s="43" t="s">
        <v>24</v>
      </c>
      <c r="J70" s="5" t="s">
        <v>194</v>
      </c>
      <c r="K70" s="5" t="s">
        <v>34</v>
      </c>
      <c r="L70" s="55">
        <v>2011</v>
      </c>
      <c r="M70" s="11" t="str">
        <f>HYPERLINK("http://www.megvii.com", "www.megvii.com")</f>
        <v>www.megvii.com</v>
      </c>
      <c r="N70" s="11" t="str">
        <f>HYPERLINK("https://my.pitchbook.com?c=99489-52", "View Company Online")</f>
        <v>View Company Online</v>
      </c>
    </row>
    <row r="71" spans="1:14" x14ac:dyDescent="0.35">
      <c r="A71" s="6" t="s">
        <v>195</v>
      </c>
      <c r="B71" s="6" t="s">
        <v>1192</v>
      </c>
      <c r="C71" s="6" t="s">
        <v>44</v>
      </c>
      <c r="D71" s="32">
        <v>1257.0999999999999</v>
      </c>
      <c r="E71" s="20" t="s">
        <v>24</v>
      </c>
      <c r="F71" s="32">
        <v>40</v>
      </c>
      <c r="G71" s="20">
        <v>43865</v>
      </c>
      <c r="H71" s="44">
        <v>92</v>
      </c>
      <c r="I71" s="44">
        <v>6</v>
      </c>
      <c r="J71" s="6" t="s">
        <v>196</v>
      </c>
      <c r="K71" s="6" t="s">
        <v>197</v>
      </c>
      <c r="L71" s="56">
        <v>2008</v>
      </c>
      <c r="M71" s="12" t="str">
        <f>HYPERLINK("http://www.securonix.com", "www.securonix.com")</f>
        <v>www.securonix.com</v>
      </c>
      <c r="N71" s="12" t="str">
        <f>HYPERLINK("https://my.pitchbook.com?c=100419-40", "View Company Online")</f>
        <v>View Company Online</v>
      </c>
    </row>
    <row r="72" spans="1:14" x14ac:dyDescent="0.35">
      <c r="A72" s="5" t="s">
        <v>198</v>
      </c>
      <c r="B72" s="6" t="s">
        <v>1192</v>
      </c>
      <c r="C72" s="5" t="s">
        <v>44</v>
      </c>
      <c r="D72" s="31">
        <v>1230</v>
      </c>
      <c r="E72" s="19">
        <v>46000</v>
      </c>
      <c r="F72" s="31">
        <v>3000</v>
      </c>
      <c r="G72" s="19">
        <v>46000</v>
      </c>
      <c r="H72" s="43">
        <v>61</v>
      </c>
      <c r="I72" s="43">
        <v>37</v>
      </c>
      <c r="J72" s="5" t="s">
        <v>199</v>
      </c>
      <c r="K72" s="5" t="s">
        <v>200</v>
      </c>
      <c r="L72" s="55">
        <v>2010</v>
      </c>
      <c r="M72" s="11" t="str">
        <f>HYPERLINK("http://www.saviynt.com", "www.saviynt.com")</f>
        <v>www.saviynt.com</v>
      </c>
      <c r="N72" s="11" t="str">
        <f>HYPERLINK("https://my.pitchbook.com?c=131321-26", "View Company Online")</f>
        <v>View Company Online</v>
      </c>
    </row>
    <row r="73" spans="1:14" x14ac:dyDescent="0.35">
      <c r="A73" s="6" t="s">
        <v>201</v>
      </c>
      <c r="B73" s="6" t="s">
        <v>1192</v>
      </c>
      <c r="C73" s="6" t="s">
        <v>159</v>
      </c>
      <c r="D73" s="32">
        <v>1224.3499999999999</v>
      </c>
      <c r="E73" s="20">
        <v>44962</v>
      </c>
      <c r="F73" s="32">
        <v>2650</v>
      </c>
      <c r="G73" s="20">
        <v>44085</v>
      </c>
      <c r="H73" s="44">
        <v>28</v>
      </c>
      <c r="I73" s="44">
        <v>70</v>
      </c>
      <c r="J73" s="6" t="s">
        <v>202</v>
      </c>
      <c r="K73" s="6" t="s">
        <v>203</v>
      </c>
      <c r="L73" s="56">
        <v>2014</v>
      </c>
      <c r="M73" s="12" t="str">
        <f>HYPERLINK("http://www.zwift.com", "www.zwift.com")</f>
        <v>www.zwift.com</v>
      </c>
      <c r="N73" s="12" t="str">
        <f>HYPERLINK("https://my.pitchbook.com?c=117491-32", "View Company Online")</f>
        <v>View Company Online</v>
      </c>
    </row>
    <row r="74" spans="1:14" x14ac:dyDescent="0.35">
      <c r="A74" s="5" t="s">
        <v>204</v>
      </c>
      <c r="B74" s="6" t="s">
        <v>1192</v>
      </c>
      <c r="C74" s="5" t="s">
        <v>36</v>
      </c>
      <c r="D74" s="31">
        <v>1220.5899999999999</v>
      </c>
      <c r="E74" s="19">
        <v>46024</v>
      </c>
      <c r="F74" s="31">
        <v>2960</v>
      </c>
      <c r="G74" s="19">
        <v>45658</v>
      </c>
      <c r="H74" s="43">
        <v>16</v>
      </c>
      <c r="I74" s="43">
        <v>82</v>
      </c>
      <c r="J74" s="5" t="s">
        <v>205</v>
      </c>
      <c r="K74" s="5" t="s">
        <v>206</v>
      </c>
      <c r="L74" s="55">
        <v>2018</v>
      </c>
      <c r="M74" s="11" t="str">
        <f>HYPERLINK("http://www.koboldmetals.com", "www.koboldmetals.com")</f>
        <v>www.koboldmetals.com</v>
      </c>
      <c r="N74" s="11" t="str">
        <f>HYPERLINK("https://my.pitchbook.com?c=265828-33", "View Company Online")</f>
        <v>View Company Online</v>
      </c>
    </row>
    <row r="75" spans="1:14" x14ac:dyDescent="0.35">
      <c r="A75" s="6" t="s">
        <v>207</v>
      </c>
      <c r="B75" s="6" t="s">
        <v>26</v>
      </c>
      <c r="C75" s="6" t="s">
        <v>27</v>
      </c>
      <c r="D75" s="32">
        <v>1201.5</v>
      </c>
      <c r="E75" s="20">
        <v>45825</v>
      </c>
      <c r="F75" s="32">
        <v>15000</v>
      </c>
      <c r="G75" s="20">
        <v>45825</v>
      </c>
      <c r="H75" s="44">
        <v>15</v>
      </c>
      <c r="I75" s="44">
        <v>83</v>
      </c>
      <c r="J75" s="6" t="s">
        <v>208</v>
      </c>
      <c r="K75" s="6" t="s">
        <v>29</v>
      </c>
      <c r="L75" s="56">
        <v>2017</v>
      </c>
      <c r="M75" s="12" t="str">
        <f>HYPERLINK("http://www.appliedintuition.com", "www.appliedintuition.com")</f>
        <v>www.appliedintuition.com</v>
      </c>
      <c r="N75" s="12" t="str">
        <f>HYPERLINK("https://my.pitchbook.com?c=226988-56", "View Company Online")</f>
        <v>View Company Online</v>
      </c>
    </row>
    <row r="76" spans="1:14" x14ac:dyDescent="0.35">
      <c r="A76" s="5" t="s">
        <v>209</v>
      </c>
      <c r="B76" s="6" t="s">
        <v>1192</v>
      </c>
      <c r="C76" s="5" t="s">
        <v>74</v>
      </c>
      <c r="D76" s="31">
        <v>1196.27</v>
      </c>
      <c r="E76" s="19">
        <v>45135</v>
      </c>
      <c r="F76" s="31" t="s">
        <v>24</v>
      </c>
      <c r="G76" s="19" t="s">
        <v>24</v>
      </c>
      <c r="H76" s="43" t="s">
        <v>24</v>
      </c>
      <c r="I76" s="43" t="s">
        <v>24</v>
      </c>
      <c r="J76" s="5" t="s">
        <v>210</v>
      </c>
      <c r="K76" s="5" t="s">
        <v>211</v>
      </c>
      <c r="L76" s="55">
        <v>2019</v>
      </c>
      <c r="M76" s="11" t="str">
        <f>HYPERLINK("http://www.t3go.cn", "www.t3go.cn")</f>
        <v>www.t3go.cn</v>
      </c>
      <c r="N76" s="11" t="str">
        <f>HYPERLINK("https://my.pitchbook.com?c=481660-03", "View Company Online")</f>
        <v>View Company Online</v>
      </c>
    </row>
    <row r="77" spans="1:14" x14ac:dyDescent="0.35">
      <c r="A77" s="6" t="s">
        <v>212</v>
      </c>
      <c r="B77" s="6" t="s">
        <v>15</v>
      </c>
      <c r="C77" s="6" t="s">
        <v>22</v>
      </c>
      <c r="D77" s="32">
        <v>1179.8</v>
      </c>
      <c r="E77" s="20">
        <v>45573</v>
      </c>
      <c r="F77" s="32">
        <v>7290</v>
      </c>
      <c r="G77" s="20">
        <v>43790</v>
      </c>
      <c r="H77" s="44">
        <v>9</v>
      </c>
      <c r="I77" s="44">
        <v>89</v>
      </c>
      <c r="J77" s="6" t="s">
        <v>213</v>
      </c>
      <c r="K77" s="6" t="s">
        <v>79</v>
      </c>
      <c r="L77" s="56">
        <v>2003</v>
      </c>
      <c r="M77" s="12" t="str">
        <f>HYPERLINK("http://www.automationanywhere.com", "www.automationanywhere.com")</f>
        <v>www.automationanywhere.com</v>
      </c>
      <c r="N77" s="12" t="str">
        <f>HYPERLINK("https://my.pitchbook.com?c=95733-46", "View Company Online")</f>
        <v>View Company Online</v>
      </c>
    </row>
    <row r="78" spans="1:14" x14ac:dyDescent="0.35">
      <c r="A78" s="5" t="s">
        <v>214</v>
      </c>
      <c r="B78" s="6" t="s">
        <v>1192</v>
      </c>
      <c r="C78" s="5" t="s">
        <v>36</v>
      </c>
      <c r="D78" s="31">
        <v>1163.8499999999999</v>
      </c>
      <c r="E78" s="19">
        <v>46046</v>
      </c>
      <c r="F78" s="31">
        <v>10838.85</v>
      </c>
      <c r="G78" s="19">
        <v>45974</v>
      </c>
      <c r="H78" s="43">
        <v>35</v>
      </c>
      <c r="I78" s="43">
        <v>63</v>
      </c>
      <c r="J78" s="5" t="s">
        <v>215</v>
      </c>
      <c r="K78" s="5" t="s">
        <v>216</v>
      </c>
      <c r="L78" s="55">
        <v>2021</v>
      </c>
      <c r="M78" s="11" t="str">
        <f>HYPERLINK("http://www.quantinuum.com", "www.quantinuum.com")</f>
        <v>www.quantinuum.com</v>
      </c>
      <c r="N78" s="11" t="str">
        <f>HYPERLINK("https://my.pitchbook.com?c=467591-32", "View Company Online")</f>
        <v>View Company Online</v>
      </c>
    </row>
    <row r="79" spans="1:14" x14ac:dyDescent="0.35">
      <c r="A79" s="6" t="s">
        <v>217</v>
      </c>
      <c r="B79" s="6" t="s">
        <v>1192</v>
      </c>
      <c r="C79" s="6" t="s">
        <v>159</v>
      </c>
      <c r="D79" s="32">
        <v>1150</v>
      </c>
      <c r="E79" s="20">
        <v>43133</v>
      </c>
      <c r="F79" s="32">
        <v>8800</v>
      </c>
      <c r="G79" s="20">
        <v>43133</v>
      </c>
      <c r="H79" s="44" t="s">
        <v>24</v>
      </c>
      <c r="I79" s="44" t="s">
        <v>24</v>
      </c>
      <c r="J79" s="6" t="s">
        <v>218</v>
      </c>
      <c r="K79" s="6" t="s">
        <v>219</v>
      </c>
      <c r="L79" s="56">
        <v>2016</v>
      </c>
      <c r="M79" s="12" t="str">
        <f>HYPERLINK("http://www.paybkj.com", "www.paybkj.com")</f>
        <v>www.paybkj.com</v>
      </c>
      <c r="N79" s="12" t="str">
        <f>HYPERLINK("https://my.pitchbook.com?c=277163-02", "View Company Online")</f>
        <v>View Company Online</v>
      </c>
    </row>
    <row r="80" spans="1:14" x14ac:dyDescent="0.35">
      <c r="A80" s="5" t="s">
        <v>220</v>
      </c>
      <c r="B80" s="6" t="s">
        <v>1192</v>
      </c>
      <c r="C80" s="5" t="s">
        <v>36</v>
      </c>
      <c r="D80" s="31">
        <v>1147.9100000000001</v>
      </c>
      <c r="E80" s="19">
        <v>45866</v>
      </c>
      <c r="F80" s="31">
        <v>3800</v>
      </c>
      <c r="G80" s="19">
        <v>44518</v>
      </c>
      <c r="H80" s="43">
        <v>36</v>
      </c>
      <c r="I80" s="43">
        <v>62</v>
      </c>
      <c r="J80" s="5" t="s">
        <v>221</v>
      </c>
      <c r="K80" s="5" t="s">
        <v>222</v>
      </c>
      <c r="L80" s="55">
        <v>2014</v>
      </c>
      <c r="M80" s="11" t="str">
        <f>HYPERLINK("http://www.fbn.com", "www.fbn.com")</f>
        <v>www.fbn.com</v>
      </c>
      <c r="N80" s="11" t="str">
        <f>HYPERLINK("https://my.pitchbook.com?c=62353-00", "View Company Online")</f>
        <v>View Company Online</v>
      </c>
    </row>
    <row r="81" spans="1:14" x14ac:dyDescent="0.35">
      <c r="A81" s="6" t="s">
        <v>223</v>
      </c>
      <c r="B81" s="6" t="s">
        <v>1192</v>
      </c>
      <c r="C81" s="6" t="s">
        <v>44</v>
      </c>
      <c r="D81" s="32">
        <v>1145.6600000000001</v>
      </c>
      <c r="E81" s="20">
        <v>45689</v>
      </c>
      <c r="F81" s="32">
        <v>3910</v>
      </c>
      <c r="G81" s="20">
        <v>45415</v>
      </c>
      <c r="H81" s="44">
        <v>10</v>
      </c>
      <c r="I81" s="44">
        <v>88</v>
      </c>
      <c r="J81" s="6" t="s">
        <v>224</v>
      </c>
      <c r="K81" s="6" t="s">
        <v>225</v>
      </c>
      <c r="L81" s="56">
        <v>2012</v>
      </c>
      <c r="M81" s="12" t="str">
        <f>HYPERLINK("http://www.arcticwolf.com", "www.arcticwolf.com")</f>
        <v>www.arcticwolf.com</v>
      </c>
      <c r="N81" s="12" t="str">
        <f>HYPERLINK("https://my.pitchbook.com?c=56921-59", "View Company Online")</f>
        <v>View Company Online</v>
      </c>
    </row>
    <row r="82" spans="1:14" x14ac:dyDescent="0.35">
      <c r="A82" s="5" t="s">
        <v>226</v>
      </c>
      <c r="B82" s="5" t="s">
        <v>26</v>
      </c>
      <c r="C82" s="5" t="s">
        <v>55</v>
      </c>
      <c r="D82" s="31">
        <v>1140.3599999999999</v>
      </c>
      <c r="E82" s="19">
        <v>45922</v>
      </c>
      <c r="F82" s="31">
        <v>10000</v>
      </c>
      <c r="G82" s="19">
        <v>45922</v>
      </c>
      <c r="H82" s="43">
        <v>8</v>
      </c>
      <c r="I82" s="43">
        <v>88</v>
      </c>
      <c r="J82" s="5" t="s">
        <v>227</v>
      </c>
      <c r="K82" s="5" t="s">
        <v>83</v>
      </c>
      <c r="L82" s="55">
        <v>2014</v>
      </c>
      <c r="M82" s="11" t="str">
        <f>HYPERLINK("http://www.1x.tech", "www.1x.tech")</f>
        <v>www.1x.tech</v>
      </c>
      <c r="N82" s="11" t="str">
        <f>HYPERLINK("https://my.pitchbook.com?c=318913-03", "View Company Online")</f>
        <v>View Company Online</v>
      </c>
    </row>
    <row r="83" spans="1:14" x14ac:dyDescent="0.35">
      <c r="A83" s="6" t="s">
        <v>228</v>
      </c>
      <c r="B83" s="6" t="s">
        <v>15</v>
      </c>
      <c r="C83" s="6" t="s">
        <v>193</v>
      </c>
      <c r="D83" s="32">
        <v>1137.5</v>
      </c>
      <c r="E83" s="20">
        <v>45238</v>
      </c>
      <c r="F83" s="32">
        <v>2250</v>
      </c>
      <c r="G83" s="20">
        <v>44470</v>
      </c>
      <c r="H83" s="44">
        <v>2</v>
      </c>
      <c r="I83" s="44">
        <v>94</v>
      </c>
      <c r="J83" s="6" t="s">
        <v>229</v>
      </c>
      <c r="K83" s="6" t="s">
        <v>122</v>
      </c>
      <c r="L83" s="56">
        <v>2010</v>
      </c>
      <c r="M83" s="12" t="str">
        <f>HYPERLINK("http://www.traxretail.com", "www.traxretail.com")</f>
        <v>www.traxretail.com</v>
      </c>
      <c r="N83" s="12" t="str">
        <f>HYPERLINK("https://my.pitchbook.com?c=58309-21", "View Company Online")</f>
        <v>View Company Online</v>
      </c>
    </row>
    <row r="84" spans="1:14" x14ac:dyDescent="0.35">
      <c r="A84" s="5" t="s">
        <v>230</v>
      </c>
      <c r="B84" s="6" t="s">
        <v>1192</v>
      </c>
      <c r="C84" s="5" t="s">
        <v>48</v>
      </c>
      <c r="D84" s="31">
        <v>1131.55</v>
      </c>
      <c r="E84" s="19">
        <v>45152</v>
      </c>
      <c r="F84" s="31">
        <v>2700</v>
      </c>
      <c r="G84" s="19">
        <v>44270</v>
      </c>
      <c r="H84" s="43">
        <v>12</v>
      </c>
      <c r="I84" s="43">
        <v>78</v>
      </c>
      <c r="J84" s="5" t="s">
        <v>231</v>
      </c>
      <c r="K84" s="5" t="s">
        <v>18</v>
      </c>
      <c r="L84" s="55">
        <v>2009</v>
      </c>
      <c r="M84" s="11" t="str">
        <f>HYPERLINK("http://www.tradeshift.com", "www.tradeshift.com")</f>
        <v>www.tradeshift.com</v>
      </c>
      <c r="N84" s="11" t="str">
        <f>HYPERLINK("https://my.pitchbook.com?c=55139-05", "View Company Online")</f>
        <v>View Company Online</v>
      </c>
    </row>
    <row r="85" spans="1:14" x14ac:dyDescent="0.35">
      <c r="A85" s="6" t="s">
        <v>232</v>
      </c>
      <c r="B85" s="6" t="s">
        <v>1192</v>
      </c>
      <c r="C85" s="6" t="s">
        <v>48</v>
      </c>
      <c r="D85" s="32">
        <v>1122.53</v>
      </c>
      <c r="E85" s="20">
        <v>45600</v>
      </c>
      <c r="F85" s="32">
        <v>1100</v>
      </c>
      <c r="G85" s="20">
        <v>44336</v>
      </c>
      <c r="H85" s="44">
        <v>47</v>
      </c>
      <c r="I85" s="44">
        <v>44</v>
      </c>
      <c r="J85" s="6" t="s">
        <v>233</v>
      </c>
      <c r="K85" s="6" t="s">
        <v>234</v>
      </c>
      <c r="L85" s="56">
        <v>2015</v>
      </c>
      <c r="M85" s="12" t="str">
        <f>HYPERLINK("http://www.sunbit.com", "www.sunbit.com")</f>
        <v>www.sunbit.com</v>
      </c>
      <c r="N85" s="12" t="str">
        <f>HYPERLINK("https://my.pitchbook.com?c=161830-54", "View Company Online")</f>
        <v>View Company Online</v>
      </c>
    </row>
    <row r="86" spans="1:14" x14ac:dyDescent="0.35">
      <c r="A86" s="5" t="s">
        <v>235</v>
      </c>
      <c r="B86" s="6" t="s">
        <v>1192</v>
      </c>
      <c r="C86" s="5" t="s">
        <v>44</v>
      </c>
      <c r="D86" s="31">
        <v>1120</v>
      </c>
      <c r="E86" s="19">
        <v>45131</v>
      </c>
      <c r="F86" s="31">
        <v>4500</v>
      </c>
      <c r="G86" s="19">
        <v>45131</v>
      </c>
      <c r="H86" s="43">
        <v>4</v>
      </c>
      <c r="I86" s="43">
        <v>94</v>
      </c>
      <c r="J86" s="5" t="s">
        <v>236</v>
      </c>
      <c r="K86" s="5" t="s">
        <v>183</v>
      </c>
      <c r="L86" s="55">
        <v>2016</v>
      </c>
      <c r="M86" s="11" t="str">
        <f>HYPERLINK("http://www.onetrust.com", "www.onetrust.com")</f>
        <v>www.onetrust.com</v>
      </c>
      <c r="N86" s="11" t="str">
        <f>HYPERLINK("https://my.pitchbook.com?c=166325-05", "View Company Online")</f>
        <v>View Company Online</v>
      </c>
    </row>
    <row r="87" spans="1:14" x14ac:dyDescent="0.35">
      <c r="A87" s="6" t="s">
        <v>237</v>
      </c>
      <c r="B87" s="6" t="s">
        <v>1192</v>
      </c>
      <c r="C87" s="6" t="s">
        <v>31</v>
      </c>
      <c r="D87" s="32">
        <v>1110</v>
      </c>
      <c r="E87" s="20" t="s">
        <v>24</v>
      </c>
      <c r="F87" s="32">
        <v>11000</v>
      </c>
      <c r="G87" s="20">
        <v>42832</v>
      </c>
      <c r="H87" s="44" t="s">
        <v>24</v>
      </c>
      <c r="I87" s="44" t="s">
        <v>24</v>
      </c>
      <c r="J87" s="6" t="s">
        <v>238</v>
      </c>
      <c r="K87" s="6" t="s">
        <v>34</v>
      </c>
      <c r="L87" s="56">
        <v>2012</v>
      </c>
      <c r="M87" s="12" t="str">
        <f>HYPERLINK("http://www.toutiao.com", "www.toutiao.com")</f>
        <v>www.toutiao.com</v>
      </c>
      <c r="N87" s="12" t="str">
        <f>HYPERLINK("https://my.pitchbook.com?c=279877-69", "View Company Online")</f>
        <v>View Company Online</v>
      </c>
    </row>
    <row r="88" spans="1:14" x14ac:dyDescent="0.35">
      <c r="A88" s="5" t="s">
        <v>239</v>
      </c>
      <c r="B88" s="6" t="s">
        <v>1192</v>
      </c>
      <c r="C88" s="5" t="s">
        <v>159</v>
      </c>
      <c r="D88" s="31">
        <v>1094.72</v>
      </c>
      <c r="E88" s="19">
        <v>45901</v>
      </c>
      <c r="F88" s="31">
        <v>1261.27</v>
      </c>
      <c r="G88" s="19">
        <v>44845</v>
      </c>
      <c r="H88" s="43">
        <v>8</v>
      </c>
      <c r="I88" s="43">
        <v>90</v>
      </c>
      <c r="J88" s="5" t="s">
        <v>240</v>
      </c>
      <c r="K88" s="5" t="s">
        <v>241</v>
      </c>
      <c r="L88" s="55">
        <v>2021</v>
      </c>
      <c r="M88" s="11" t="str">
        <f>HYPERLINK("http://www.treeline.bio", "www.treeline.bio")</f>
        <v>www.treeline.bio</v>
      </c>
      <c r="N88" s="11" t="str">
        <f>HYPERLINK("https://my.pitchbook.com?c=465513-13", "View Company Online")</f>
        <v>View Company Online</v>
      </c>
    </row>
    <row r="89" spans="1:14" x14ac:dyDescent="0.35">
      <c r="A89" s="6" t="s">
        <v>242</v>
      </c>
      <c r="B89" s="6" t="s">
        <v>39</v>
      </c>
      <c r="C89" s="6" t="s">
        <v>40</v>
      </c>
      <c r="D89" s="32">
        <v>1088.8499999999999</v>
      </c>
      <c r="E89" s="20">
        <v>45020</v>
      </c>
      <c r="F89" s="32">
        <v>2262.3000000000002</v>
      </c>
      <c r="G89" s="20">
        <v>45020</v>
      </c>
      <c r="H89" s="44" t="s">
        <v>24</v>
      </c>
      <c r="I89" s="44" t="s">
        <v>24</v>
      </c>
      <c r="J89" s="6" t="s">
        <v>243</v>
      </c>
      <c r="K89" s="6" t="s">
        <v>244</v>
      </c>
      <c r="L89" s="56">
        <v>2014</v>
      </c>
      <c r="M89" s="12" t="str">
        <f>HYPERLINK("http://www.intellif.com", "www.intellif.com")</f>
        <v>www.intellif.com</v>
      </c>
      <c r="N89" s="12" t="str">
        <f>HYPERLINK("https://my.pitchbook.com?c=339781-33", "View Company Online")</f>
        <v>View Company Online</v>
      </c>
    </row>
    <row r="90" spans="1:14" x14ac:dyDescent="0.35">
      <c r="A90" s="5" t="s">
        <v>245</v>
      </c>
      <c r="B90" s="6" t="s">
        <v>1192</v>
      </c>
      <c r="C90" s="5" t="s">
        <v>48</v>
      </c>
      <c r="D90" s="31">
        <v>1077.01</v>
      </c>
      <c r="E90" s="19">
        <v>45202</v>
      </c>
      <c r="F90" s="31">
        <v>2000</v>
      </c>
      <c r="G90" s="19">
        <v>44306</v>
      </c>
      <c r="H90" s="43">
        <v>55</v>
      </c>
      <c r="I90" s="43">
        <v>42</v>
      </c>
      <c r="J90" s="5" t="s">
        <v>246</v>
      </c>
      <c r="K90" s="5" t="s">
        <v>138</v>
      </c>
      <c r="L90" s="55">
        <v>2015</v>
      </c>
      <c r="M90" s="11" t="str">
        <f>HYPERLINK("http://www.clear.co", "www.clear.co")</f>
        <v>www.clear.co</v>
      </c>
      <c r="N90" s="11" t="str">
        <f>HYPERLINK("https://my.pitchbook.com?c=148927-78", "View Company Online")</f>
        <v>View Company Online</v>
      </c>
    </row>
    <row r="91" spans="1:14" x14ac:dyDescent="0.35">
      <c r="A91" s="6" t="s">
        <v>247</v>
      </c>
      <c r="B91" s="6" t="s">
        <v>1192</v>
      </c>
      <c r="C91" s="6" t="s">
        <v>159</v>
      </c>
      <c r="D91" s="32">
        <v>1072.8</v>
      </c>
      <c r="E91" s="20">
        <v>45525</v>
      </c>
      <c r="F91" s="32">
        <v>250</v>
      </c>
      <c r="G91" s="20">
        <v>45525</v>
      </c>
      <c r="H91" s="44">
        <v>23</v>
      </c>
      <c r="I91" s="44">
        <v>65</v>
      </c>
      <c r="J91" s="6" t="s">
        <v>248</v>
      </c>
      <c r="K91" s="6" t="s">
        <v>135</v>
      </c>
      <c r="L91" s="56">
        <v>2013</v>
      </c>
      <c r="M91" s="12" t="str">
        <f>HYPERLINK("http://www.humanlongevity.com", "www.humanlongevity.com")</f>
        <v>www.humanlongevity.com</v>
      </c>
      <c r="N91" s="12" t="str">
        <f>HYPERLINK("https://my.pitchbook.com?c=61828-75", "View Company Online")</f>
        <v>View Company Online</v>
      </c>
    </row>
    <row r="92" spans="1:14" x14ac:dyDescent="0.35">
      <c r="A92" s="5" t="s">
        <v>249</v>
      </c>
      <c r="B92" s="5" t="s">
        <v>15</v>
      </c>
      <c r="C92" s="5" t="s">
        <v>16</v>
      </c>
      <c r="D92" s="31">
        <v>1070</v>
      </c>
      <c r="E92" s="19">
        <v>45981</v>
      </c>
      <c r="F92" s="31">
        <v>5400</v>
      </c>
      <c r="G92" s="19">
        <v>45981</v>
      </c>
      <c r="H92" s="43">
        <v>11</v>
      </c>
      <c r="I92" s="43">
        <v>87</v>
      </c>
      <c r="J92" s="5" t="s">
        <v>250</v>
      </c>
      <c r="K92" s="5" t="s">
        <v>18</v>
      </c>
      <c r="L92" s="55">
        <v>2024</v>
      </c>
      <c r="M92" s="11" t="str">
        <f>HYPERLINK("http://www.pi.website", "www.pi.website")</f>
        <v>www.pi.website</v>
      </c>
      <c r="N92" s="11" t="str">
        <f>HYPERLINK("https://my.pitchbook.com?c=590542-30", "View Company Online")</f>
        <v>View Company Online</v>
      </c>
    </row>
    <row r="93" spans="1:14" x14ac:dyDescent="0.35">
      <c r="A93" s="6" t="s">
        <v>251</v>
      </c>
      <c r="B93" s="6" t="s">
        <v>1192</v>
      </c>
      <c r="C93" s="6" t="s">
        <v>44</v>
      </c>
      <c r="D93" s="32">
        <v>1066.8499999999999</v>
      </c>
      <c r="E93" s="20">
        <v>45917</v>
      </c>
      <c r="F93" s="32">
        <v>1270.94</v>
      </c>
      <c r="G93" s="20">
        <v>44986</v>
      </c>
      <c r="H93" s="44">
        <v>24</v>
      </c>
      <c r="I93" s="44">
        <v>74</v>
      </c>
      <c r="J93" s="6" t="s">
        <v>252</v>
      </c>
      <c r="K93" s="6" t="s">
        <v>253</v>
      </c>
      <c r="L93" s="56">
        <v>2015</v>
      </c>
      <c r="M93" s="12" t="str">
        <f>HYPERLINK("http://www.carro.co", "www.carro.co")</f>
        <v>www.carro.co</v>
      </c>
      <c r="N93" s="12" t="str">
        <f>HYPERLINK("https://my.pitchbook.com?c=161109-28", "View Company Online")</f>
        <v>View Company Online</v>
      </c>
    </row>
    <row r="94" spans="1:14" x14ac:dyDescent="0.35">
      <c r="A94" s="5" t="s">
        <v>254</v>
      </c>
      <c r="B94" s="5" t="s">
        <v>15</v>
      </c>
      <c r="C94" s="5" t="s">
        <v>22</v>
      </c>
      <c r="D94" s="31">
        <v>1050</v>
      </c>
      <c r="E94" s="19">
        <v>46038</v>
      </c>
      <c r="F94" s="31">
        <v>15000</v>
      </c>
      <c r="G94" s="19">
        <v>46038</v>
      </c>
      <c r="H94" s="43">
        <v>24</v>
      </c>
      <c r="I94" s="43">
        <v>73</v>
      </c>
      <c r="J94" s="5" t="s">
        <v>255</v>
      </c>
      <c r="K94" s="5" t="s">
        <v>18</v>
      </c>
      <c r="L94" s="55">
        <v>2009</v>
      </c>
      <c r="M94" s="11" t="str">
        <f>HYPERLINK("http://www.clickhouse.com", "www.clickhouse.com")</f>
        <v>www.clickhouse.com</v>
      </c>
      <c r="N94" s="11" t="str">
        <f>HYPERLINK("https://my.pitchbook.com?c=265089-79", "View Company Online")</f>
        <v>View Company Online</v>
      </c>
    </row>
    <row r="95" spans="1:14" x14ac:dyDescent="0.35">
      <c r="A95" s="6" t="s">
        <v>256</v>
      </c>
      <c r="B95" s="6" t="s">
        <v>15</v>
      </c>
      <c r="C95" s="6" t="s">
        <v>16</v>
      </c>
      <c r="D95" s="32">
        <v>1048.21</v>
      </c>
      <c r="E95" s="20">
        <v>45058</v>
      </c>
      <c r="F95" s="32">
        <v>6300</v>
      </c>
      <c r="G95" s="20">
        <v>44404</v>
      </c>
      <c r="H95" s="44">
        <v>56</v>
      </c>
      <c r="I95" s="44">
        <v>42</v>
      </c>
      <c r="J95" s="6" t="s">
        <v>257</v>
      </c>
      <c r="K95" s="6" t="s">
        <v>122</v>
      </c>
      <c r="L95" s="56">
        <v>2012</v>
      </c>
      <c r="M95" s="12" t="str">
        <f>HYPERLINK("http://www.datarobot.com", "www.datarobot.com")</f>
        <v>www.datarobot.com</v>
      </c>
      <c r="N95" s="12" t="str">
        <f>HYPERLINK("https://my.pitchbook.com?c=57523-60", "View Company Online")</f>
        <v>View Company Online</v>
      </c>
    </row>
    <row r="96" spans="1:14" x14ac:dyDescent="0.35">
      <c r="A96" s="5" t="s">
        <v>258</v>
      </c>
      <c r="B96" s="5" t="s">
        <v>15</v>
      </c>
      <c r="C96" s="5" t="s">
        <v>156</v>
      </c>
      <c r="D96" s="31">
        <v>1038.51</v>
      </c>
      <c r="E96" s="19">
        <v>45748</v>
      </c>
      <c r="F96" s="31">
        <v>2754.04</v>
      </c>
      <c r="G96" s="19">
        <v>45497</v>
      </c>
      <c r="H96" s="43" t="s">
        <v>24</v>
      </c>
      <c r="I96" s="43" t="s">
        <v>24</v>
      </c>
      <c r="J96" s="5" t="s">
        <v>259</v>
      </c>
      <c r="K96" s="5" t="s">
        <v>34</v>
      </c>
      <c r="L96" s="55">
        <v>2023</v>
      </c>
      <c r="M96" s="11" t="str">
        <f>HYPERLINK("http://www.baichuan-ai.com", "www.baichuan-ai.com")</f>
        <v>www.baichuan-ai.com</v>
      </c>
      <c r="N96" s="11" t="str">
        <f>HYPERLINK("https://my.pitchbook.com?c=534787-03", "View Company Online")</f>
        <v>View Company Online</v>
      </c>
    </row>
    <row r="97" spans="1:14" x14ac:dyDescent="0.35">
      <c r="A97" s="6" t="s">
        <v>260</v>
      </c>
      <c r="B97" s="6" t="s">
        <v>39</v>
      </c>
      <c r="C97" s="6" t="s">
        <v>40</v>
      </c>
      <c r="D97" s="32">
        <v>1033.7</v>
      </c>
      <c r="E97" s="20" t="s">
        <v>24</v>
      </c>
      <c r="F97" s="32">
        <v>3200</v>
      </c>
      <c r="G97" s="20" t="s">
        <v>24</v>
      </c>
      <c r="H97" s="44">
        <v>3</v>
      </c>
      <c r="I97" s="44">
        <v>95</v>
      </c>
      <c r="J97" s="6" t="s">
        <v>261</v>
      </c>
      <c r="K97" s="6" t="s">
        <v>62</v>
      </c>
      <c r="L97" s="56">
        <v>2016</v>
      </c>
      <c r="M97" s="12" t="str">
        <f>HYPERLINK("http://www.tenstorrent.com", "www.tenstorrent.com")</f>
        <v>www.tenstorrent.com</v>
      </c>
      <c r="N97" s="12" t="str">
        <f>HYPERLINK("https://my.pitchbook.com?c=171627-13", "View Company Online")</f>
        <v>View Company Online</v>
      </c>
    </row>
    <row r="98" spans="1:14" x14ac:dyDescent="0.35">
      <c r="A98" s="5" t="s">
        <v>262</v>
      </c>
      <c r="B98" s="5" t="s">
        <v>26</v>
      </c>
      <c r="C98" s="5" t="s">
        <v>27</v>
      </c>
      <c r="D98" s="31">
        <v>1032.72</v>
      </c>
      <c r="E98" s="19">
        <v>46008</v>
      </c>
      <c r="F98" s="31" t="s">
        <v>24</v>
      </c>
      <c r="G98" s="19" t="s">
        <v>24</v>
      </c>
      <c r="H98" s="43">
        <v>58</v>
      </c>
      <c r="I98" s="43">
        <v>40</v>
      </c>
      <c r="J98" s="5" t="s">
        <v>263</v>
      </c>
      <c r="K98" s="5" t="s">
        <v>138</v>
      </c>
      <c r="L98" s="55">
        <v>2021</v>
      </c>
      <c r="M98" s="11" t="str">
        <f>HYPERLINK("http://www.waabi.ai", "www.waabi.ai")</f>
        <v>www.waabi.ai</v>
      </c>
      <c r="N98" s="11" t="str">
        <f>HYPERLINK("https://my.pitchbook.com?c=467581-42", "View Company Online")</f>
        <v>View Company Online</v>
      </c>
    </row>
    <row r="99" spans="1:14" x14ac:dyDescent="0.35">
      <c r="A99" s="6" t="s">
        <v>264</v>
      </c>
      <c r="B99" s="6" t="s">
        <v>1192</v>
      </c>
      <c r="C99" s="6" t="s">
        <v>44</v>
      </c>
      <c r="D99" s="32">
        <v>1016.16</v>
      </c>
      <c r="E99" s="20">
        <v>45862</v>
      </c>
      <c r="F99" s="32">
        <v>3800</v>
      </c>
      <c r="G99" s="20">
        <v>45862</v>
      </c>
      <c r="H99" s="44">
        <v>42</v>
      </c>
      <c r="I99" s="44">
        <v>52</v>
      </c>
      <c r="J99" s="6" t="s">
        <v>265</v>
      </c>
      <c r="K99" s="6" t="s">
        <v>18</v>
      </c>
      <c r="L99" s="56">
        <v>2022</v>
      </c>
      <c r="M99" s="12" t="str">
        <f>HYPERLINK("http://www.magic.dev", "www.magic.dev")</f>
        <v>www.magic.dev</v>
      </c>
      <c r="N99" s="12" t="str">
        <f>HYPERLINK("https://my.pitchbook.com?c=502658-20", "View Company Online")</f>
        <v>View Company Online</v>
      </c>
    </row>
    <row r="100" spans="1:14" x14ac:dyDescent="0.35">
      <c r="A100" s="5" t="s">
        <v>266</v>
      </c>
      <c r="B100" s="5" t="s">
        <v>15</v>
      </c>
      <c r="C100" s="5" t="s">
        <v>193</v>
      </c>
      <c r="D100" s="31">
        <v>1014.23</v>
      </c>
      <c r="E100" s="19">
        <v>46043</v>
      </c>
      <c r="F100" s="31">
        <v>4000</v>
      </c>
      <c r="G100" s="19">
        <v>46043</v>
      </c>
      <c r="H100" s="43">
        <v>16</v>
      </c>
      <c r="I100" s="43">
        <v>82</v>
      </c>
      <c r="J100" s="5" t="s">
        <v>267</v>
      </c>
      <c r="K100" s="5" t="s">
        <v>83</v>
      </c>
      <c r="L100" s="55">
        <v>2021</v>
      </c>
      <c r="M100" s="11" t="str">
        <f>HYPERLINK("http://www.lumalabs.ai", "www.lumalabs.ai")</f>
        <v>www.lumalabs.ai</v>
      </c>
      <c r="N100" s="11" t="str">
        <f>HYPERLINK("https://my.pitchbook.com?c=483378-04", "View Company Online")</f>
        <v>View Company Online</v>
      </c>
    </row>
    <row r="101" spans="1:14" x14ac:dyDescent="0.35">
      <c r="A101" s="6" t="s">
        <v>268</v>
      </c>
      <c r="B101" s="6" t="s">
        <v>1192</v>
      </c>
      <c r="C101" s="6" t="s">
        <v>48</v>
      </c>
      <c r="D101" s="32">
        <v>1001.86</v>
      </c>
      <c r="E101" s="20">
        <v>44987</v>
      </c>
      <c r="F101" s="32">
        <v>1300</v>
      </c>
      <c r="G101" s="20">
        <v>44468</v>
      </c>
      <c r="H101" s="44">
        <v>46</v>
      </c>
      <c r="I101" s="44">
        <v>44</v>
      </c>
      <c r="J101" s="6" t="s">
        <v>269</v>
      </c>
      <c r="K101" s="6" t="s">
        <v>170</v>
      </c>
      <c r="L101" s="56">
        <v>2013</v>
      </c>
      <c r="M101" s="12" t="str">
        <f>HYPERLINK("http://www.konfio.mx", "www.konfio.mx")</f>
        <v>www.konfio.mx</v>
      </c>
      <c r="N101" s="12" t="str">
        <f>HYPERLINK("https://my.pitchbook.com?c=93703-42", "View Company Online")</f>
        <v>View Company Online</v>
      </c>
    </row>
    <row r="102" spans="1:14" x14ac:dyDescent="0.35">
      <c r="A102" s="5" t="s">
        <v>270</v>
      </c>
      <c r="B102" s="5" t="s">
        <v>39</v>
      </c>
      <c r="C102" s="5" t="s">
        <v>178</v>
      </c>
      <c r="D102" s="31">
        <v>1000</v>
      </c>
      <c r="E102" s="19">
        <v>45974</v>
      </c>
      <c r="F102" s="31">
        <v>4500</v>
      </c>
      <c r="G102" s="19">
        <v>45974</v>
      </c>
      <c r="H102" s="43">
        <v>42</v>
      </c>
      <c r="I102" s="43">
        <v>56</v>
      </c>
      <c r="J102" s="5" t="s">
        <v>271</v>
      </c>
      <c r="K102" s="5" t="s">
        <v>234</v>
      </c>
      <c r="L102" s="55">
        <v>2020</v>
      </c>
      <c r="M102" s="11" t="str">
        <f>HYPERLINK("http://www.chaosinc.com", "www.chaosinc.com")</f>
        <v>www.chaosinc.com</v>
      </c>
      <c r="N102" s="11" t="str">
        <f>HYPERLINK("https://my.pitchbook.com?c=521225-83", "View Company Online")</f>
        <v>View Company Online</v>
      </c>
    </row>
    <row r="103" spans="1:14" x14ac:dyDescent="0.35">
      <c r="A103" s="6" t="s">
        <v>272</v>
      </c>
      <c r="B103" s="6" t="s">
        <v>1192</v>
      </c>
      <c r="C103" s="6" t="s">
        <v>36</v>
      </c>
      <c r="D103" s="32">
        <v>1000</v>
      </c>
      <c r="E103" s="20">
        <v>46027</v>
      </c>
      <c r="F103" s="32">
        <v>8650</v>
      </c>
      <c r="G103" s="20">
        <v>46027</v>
      </c>
      <c r="H103" s="44" t="s">
        <v>24</v>
      </c>
      <c r="I103" s="44" t="s">
        <v>24</v>
      </c>
      <c r="J103" s="6" t="s">
        <v>273</v>
      </c>
      <c r="K103" s="6" t="s">
        <v>68</v>
      </c>
      <c r="L103" s="56">
        <v>2011</v>
      </c>
      <c r="M103" s="12" t="str">
        <f>HYPERLINK("http://www.kraken.tech", "www.kraken.tech")</f>
        <v>www.kraken.tech</v>
      </c>
      <c r="N103" s="12" t="str">
        <f>HYPERLINK("https://my.pitchbook.com?c=107492-86", "View Company Online")</f>
        <v>View Company Online</v>
      </c>
    </row>
    <row r="104" spans="1:14" x14ac:dyDescent="0.35">
      <c r="A104" s="5" t="s">
        <v>274</v>
      </c>
      <c r="B104" s="6" t="s">
        <v>1192</v>
      </c>
      <c r="C104" s="5" t="s">
        <v>31</v>
      </c>
      <c r="D104" s="31">
        <v>991.5</v>
      </c>
      <c r="E104" s="19" t="s">
        <v>24</v>
      </c>
      <c r="F104" s="31">
        <v>3000</v>
      </c>
      <c r="G104" s="19">
        <v>44328</v>
      </c>
      <c r="H104" s="43">
        <v>66</v>
      </c>
      <c r="I104" s="43">
        <v>24</v>
      </c>
      <c r="J104" s="5" t="s">
        <v>275</v>
      </c>
      <c r="K104" s="5" t="s">
        <v>90</v>
      </c>
      <c r="L104" s="55">
        <v>2016</v>
      </c>
      <c r="M104" s="11" t="str">
        <f>HYPERLINK("http://www.jellysmack.com", "www.jellysmack.com")</f>
        <v>www.jellysmack.com</v>
      </c>
      <c r="N104" s="11" t="str">
        <f>HYPERLINK("https://my.pitchbook.com?c=178215-22", "View Company Online")</f>
        <v>View Company Online</v>
      </c>
    </row>
    <row r="105" spans="1:14" x14ac:dyDescent="0.35">
      <c r="A105" s="6" t="s">
        <v>276</v>
      </c>
      <c r="B105" s="6" t="s">
        <v>1192</v>
      </c>
      <c r="C105" s="6" t="s">
        <v>44</v>
      </c>
      <c r="D105" s="32">
        <v>987.92</v>
      </c>
      <c r="E105" s="20">
        <v>46062</v>
      </c>
      <c r="F105" s="32">
        <v>11000</v>
      </c>
      <c r="G105" s="20">
        <v>46062</v>
      </c>
      <c r="H105" s="44">
        <v>4</v>
      </c>
      <c r="I105" s="44">
        <v>82</v>
      </c>
      <c r="J105" s="6" t="s">
        <v>277</v>
      </c>
      <c r="K105" s="6" t="s">
        <v>18</v>
      </c>
      <c r="L105" s="56">
        <v>2022</v>
      </c>
      <c r="M105" s="12" t="str">
        <f>HYPERLINK("http://www.harvey.ai", "www.harvey.ai")</f>
        <v>www.harvey.ai</v>
      </c>
      <c r="N105" s="12" t="str">
        <f>HYPERLINK("https://my.pitchbook.com?c=510703-21", "View Company Online")</f>
        <v>View Company Online</v>
      </c>
    </row>
    <row r="106" spans="1:14" x14ac:dyDescent="0.35">
      <c r="A106" s="5" t="s">
        <v>278</v>
      </c>
      <c r="B106" s="5" t="s">
        <v>26</v>
      </c>
      <c r="C106" s="5" t="s">
        <v>55</v>
      </c>
      <c r="D106" s="31">
        <v>975.84</v>
      </c>
      <c r="E106" s="19">
        <v>46064</v>
      </c>
      <c r="F106" s="31">
        <v>5300</v>
      </c>
      <c r="G106" s="19">
        <v>46064</v>
      </c>
      <c r="H106" s="43">
        <v>9</v>
      </c>
      <c r="I106" s="43">
        <v>88</v>
      </c>
      <c r="J106" s="5" t="s">
        <v>279</v>
      </c>
      <c r="K106" s="5" t="s">
        <v>280</v>
      </c>
      <c r="L106" s="55">
        <v>2016</v>
      </c>
      <c r="M106" s="11" t="str">
        <f>HYPERLINK("http://www.apptronik.com", "www.apptronik.com")</f>
        <v>www.apptronik.com</v>
      </c>
      <c r="N106" s="11" t="str">
        <f>HYPERLINK("https://my.pitchbook.com?c=222785-47", "View Company Online")</f>
        <v>View Company Online</v>
      </c>
    </row>
    <row r="107" spans="1:14" x14ac:dyDescent="0.35">
      <c r="A107" s="6" t="s">
        <v>281</v>
      </c>
      <c r="B107" s="6" t="s">
        <v>1192</v>
      </c>
      <c r="C107" s="6" t="s">
        <v>48</v>
      </c>
      <c r="D107" s="32">
        <v>958.68</v>
      </c>
      <c r="E107" s="20">
        <v>45084</v>
      </c>
      <c r="F107" s="32">
        <v>3385.99</v>
      </c>
      <c r="G107" s="20">
        <v>43791</v>
      </c>
      <c r="H107" s="44">
        <v>11</v>
      </c>
      <c r="I107" s="44">
        <v>87</v>
      </c>
      <c r="J107" s="6" t="s">
        <v>282</v>
      </c>
      <c r="K107" s="6" t="s">
        <v>283</v>
      </c>
      <c r="L107" s="56">
        <v>2018</v>
      </c>
      <c r="M107" s="12" t="str">
        <f>HYPERLINK("http://www.lentra.ai", "www.lentra.ai")</f>
        <v>www.lentra.ai</v>
      </c>
      <c r="N107" s="12" t="str">
        <f>HYPERLINK("https://my.pitchbook.com?c=343159-03", "View Company Online")</f>
        <v>View Company Online</v>
      </c>
    </row>
    <row r="108" spans="1:14" x14ac:dyDescent="0.35">
      <c r="A108" s="5" t="s">
        <v>284</v>
      </c>
      <c r="B108" s="5" t="s">
        <v>15</v>
      </c>
      <c r="C108" s="5" t="s">
        <v>193</v>
      </c>
      <c r="D108" s="31">
        <v>957.58</v>
      </c>
      <c r="E108" s="19">
        <v>45729</v>
      </c>
      <c r="F108" s="31">
        <v>7500</v>
      </c>
      <c r="G108" s="19">
        <v>45729</v>
      </c>
      <c r="H108" s="43">
        <v>48</v>
      </c>
      <c r="I108" s="43">
        <v>50</v>
      </c>
      <c r="J108" s="5" t="s">
        <v>285</v>
      </c>
      <c r="K108" s="5" t="s">
        <v>183</v>
      </c>
      <c r="L108" s="55">
        <v>2017</v>
      </c>
      <c r="M108" s="11" t="str">
        <f>HYPERLINK("http://www.flocksafety.com", "www.flocksafety.com")</f>
        <v>www.flocksafety.com</v>
      </c>
      <c r="N108" s="11" t="str">
        <f>HYPERLINK("https://my.pitchbook.com?c=185188-06", "View Company Online")</f>
        <v>View Company Online</v>
      </c>
    </row>
    <row r="109" spans="1:14" x14ac:dyDescent="0.35">
      <c r="A109" s="6" t="s">
        <v>286</v>
      </c>
      <c r="B109" s="6" t="s">
        <v>1192</v>
      </c>
      <c r="C109" s="6" t="s">
        <v>31</v>
      </c>
      <c r="D109" s="32">
        <v>957.5</v>
      </c>
      <c r="E109" s="20">
        <v>45444</v>
      </c>
      <c r="F109" s="32">
        <v>14000</v>
      </c>
      <c r="G109" s="20">
        <v>45524</v>
      </c>
      <c r="H109" s="44">
        <v>7</v>
      </c>
      <c r="I109" s="44">
        <v>87</v>
      </c>
      <c r="J109" s="6" t="s">
        <v>287</v>
      </c>
      <c r="K109" s="6" t="s">
        <v>18</v>
      </c>
      <c r="L109" s="56">
        <v>2014</v>
      </c>
      <c r="M109" s="12" t="str">
        <f>HYPERLINK("http://www.bolt.com", "www.bolt.com")</f>
        <v>www.bolt.com</v>
      </c>
      <c r="N109" s="12" t="str">
        <f>HYPERLINK("https://my.pitchbook.com?c=107633-08", "View Company Online")</f>
        <v>View Company Online</v>
      </c>
    </row>
    <row r="110" spans="1:14" x14ac:dyDescent="0.35">
      <c r="A110" s="5" t="s">
        <v>288</v>
      </c>
      <c r="B110" s="5" t="s">
        <v>15</v>
      </c>
      <c r="C110" s="5" t="s">
        <v>16</v>
      </c>
      <c r="D110" s="31">
        <v>950.01</v>
      </c>
      <c r="E110" s="19">
        <v>45853</v>
      </c>
      <c r="F110" s="31">
        <v>5750</v>
      </c>
      <c r="G110" s="19">
        <v>45751</v>
      </c>
      <c r="H110" s="43">
        <v>8</v>
      </c>
      <c r="I110" s="43">
        <v>83</v>
      </c>
      <c r="J110" s="5" t="s">
        <v>289</v>
      </c>
      <c r="K110" s="5" t="s">
        <v>83</v>
      </c>
      <c r="L110" s="55">
        <v>2021</v>
      </c>
      <c r="M110" s="11" t="str">
        <f>HYPERLINK("http://www.sandboxaq.com", "www.sandboxaq.com")</f>
        <v>www.sandboxaq.com</v>
      </c>
      <c r="N110" s="11" t="str">
        <f>HYPERLINK("https://my.pitchbook.com?c=493999-03", "View Company Online")</f>
        <v>View Company Online</v>
      </c>
    </row>
    <row r="111" spans="1:14" x14ac:dyDescent="0.35">
      <c r="A111" s="6" t="s">
        <v>290</v>
      </c>
      <c r="B111" s="6" t="s">
        <v>39</v>
      </c>
      <c r="C111" s="6" t="s">
        <v>40</v>
      </c>
      <c r="D111" s="32">
        <v>947.66</v>
      </c>
      <c r="E111" s="20" t="s">
        <v>24</v>
      </c>
      <c r="F111" s="32">
        <v>2923.94</v>
      </c>
      <c r="G111" s="20">
        <v>45842</v>
      </c>
      <c r="H111" s="44" t="s">
        <v>24</v>
      </c>
      <c r="I111" s="44" t="s">
        <v>24</v>
      </c>
      <c r="J111" s="6" t="s">
        <v>291</v>
      </c>
      <c r="K111" s="6" t="s">
        <v>34</v>
      </c>
      <c r="L111" s="56">
        <v>2011</v>
      </c>
      <c r="M111" s="12" t="str">
        <f>HYPERLINK("http://www.kunlunxin.com", "www.kunlunxin.com")</f>
        <v>www.kunlunxin.com</v>
      </c>
      <c r="N111" s="12" t="str">
        <f>HYPERLINK("https://my.pitchbook.com?c=82465-12", "View Company Online")</f>
        <v>View Company Online</v>
      </c>
    </row>
    <row r="112" spans="1:14" x14ac:dyDescent="0.35">
      <c r="A112" s="5" t="s">
        <v>292</v>
      </c>
      <c r="B112" s="6" t="s">
        <v>1192</v>
      </c>
      <c r="C112" s="5" t="s">
        <v>44</v>
      </c>
      <c r="D112" s="31">
        <v>944.54</v>
      </c>
      <c r="E112" s="19">
        <v>45883</v>
      </c>
      <c r="F112" s="31">
        <v>20.67</v>
      </c>
      <c r="G112" s="19">
        <v>45411</v>
      </c>
      <c r="H112" s="43">
        <v>55</v>
      </c>
      <c r="I112" s="43">
        <v>31</v>
      </c>
      <c r="J112" s="5" t="s">
        <v>293</v>
      </c>
      <c r="K112" s="5" t="s">
        <v>183</v>
      </c>
      <c r="L112" s="55">
        <v>2015</v>
      </c>
      <c r="M112" s="11" t="str">
        <f>HYPERLINK("http://www.knock.com", "www.knock.com")</f>
        <v>www.knock.com</v>
      </c>
      <c r="N112" s="11" t="str">
        <f>HYPERLINK("https://my.pitchbook.com?c=161906-95", "View Company Online")</f>
        <v>View Company Online</v>
      </c>
    </row>
    <row r="113" spans="1:14" x14ac:dyDescent="0.35">
      <c r="A113" s="6" t="s">
        <v>294</v>
      </c>
      <c r="B113" s="6" t="s">
        <v>15</v>
      </c>
      <c r="C113" s="6" t="s">
        <v>156</v>
      </c>
      <c r="D113" s="32">
        <v>929.82</v>
      </c>
      <c r="E113" s="20">
        <v>45962</v>
      </c>
      <c r="F113" s="32">
        <v>9300</v>
      </c>
      <c r="G113" s="20">
        <v>45817</v>
      </c>
      <c r="H113" s="44">
        <v>16</v>
      </c>
      <c r="I113" s="44">
        <v>82</v>
      </c>
      <c r="J113" s="6" t="s">
        <v>295</v>
      </c>
      <c r="K113" s="6" t="s">
        <v>18</v>
      </c>
      <c r="L113" s="56">
        <v>2011</v>
      </c>
      <c r="M113" s="12" t="str">
        <f>HYPERLINK("http://www.gusto.com", "www.gusto.com")</f>
        <v>www.gusto.com</v>
      </c>
      <c r="N113" s="12" t="str">
        <f>HYPERLINK("https://my.pitchbook.com?c=55758-97", "View Company Online")</f>
        <v>View Company Online</v>
      </c>
    </row>
    <row r="114" spans="1:14" x14ac:dyDescent="0.35">
      <c r="A114" s="5" t="s">
        <v>296</v>
      </c>
      <c r="B114" s="5" t="s">
        <v>15</v>
      </c>
      <c r="C114" s="5" t="s">
        <v>156</v>
      </c>
      <c r="D114" s="31">
        <v>922.07</v>
      </c>
      <c r="E114" s="19">
        <v>45337</v>
      </c>
      <c r="F114" s="31">
        <v>6970.1</v>
      </c>
      <c r="G114" s="19">
        <v>44371</v>
      </c>
      <c r="H114" s="43">
        <v>42</v>
      </c>
      <c r="I114" s="43">
        <v>52</v>
      </c>
      <c r="J114" s="5" t="s">
        <v>297</v>
      </c>
      <c r="K114" s="5" t="s">
        <v>298</v>
      </c>
      <c r="L114" s="55">
        <v>2016</v>
      </c>
      <c r="M114" s="11" t="str">
        <f>HYPERLINK("http://www.attentive.com", "www.attentive.com")</f>
        <v>www.attentive.com</v>
      </c>
      <c r="N114" s="11" t="str">
        <f>HYPERLINK("https://my.pitchbook.com?c=225695-62", "View Company Online")</f>
        <v>View Company Online</v>
      </c>
    </row>
    <row r="115" spans="1:14" x14ac:dyDescent="0.35">
      <c r="A115" s="6" t="s">
        <v>299</v>
      </c>
      <c r="B115" s="6" t="s">
        <v>15</v>
      </c>
      <c r="C115" s="6" t="s">
        <v>156</v>
      </c>
      <c r="D115" s="32">
        <v>897.69</v>
      </c>
      <c r="E115" s="20">
        <v>45952</v>
      </c>
      <c r="F115" s="32">
        <v>2740</v>
      </c>
      <c r="G115" s="20">
        <v>45952</v>
      </c>
      <c r="H115" s="44">
        <v>7</v>
      </c>
      <c r="I115" s="44">
        <v>91</v>
      </c>
      <c r="J115" s="6" t="s">
        <v>300</v>
      </c>
      <c r="K115" s="6" t="s">
        <v>83</v>
      </c>
      <c r="L115" s="56">
        <v>2008</v>
      </c>
      <c r="M115" s="12" t="str">
        <f>HYPERLINK("http://www.uniphore.com", "www.uniphore.com")</f>
        <v>www.uniphore.com</v>
      </c>
      <c r="N115" s="12" t="str">
        <f>HYPERLINK("https://my.pitchbook.com?c=61952-77", "View Company Online")</f>
        <v>View Company Online</v>
      </c>
    </row>
    <row r="116" spans="1:14" x14ac:dyDescent="0.35">
      <c r="A116" s="5" t="s">
        <v>301</v>
      </c>
      <c r="B116" s="6" t="s">
        <v>1192</v>
      </c>
      <c r="C116" s="5" t="s">
        <v>44</v>
      </c>
      <c r="D116" s="31">
        <v>878.04</v>
      </c>
      <c r="E116" s="19">
        <v>46092</v>
      </c>
      <c r="F116" s="31">
        <v>9000</v>
      </c>
      <c r="G116" s="19">
        <v>46092</v>
      </c>
      <c r="H116" s="43">
        <v>4</v>
      </c>
      <c r="I116" s="43">
        <v>94</v>
      </c>
      <c r="J116" s="5" t="s">
        <v>302</v>
      </c>
      <c r="K116" s="5" t="s">
        <v>303</v>
      </c>
      <c r="L116" s="55">
        <v>2016</v>
      </c>
      <c r="M116" s="11" t="str">
        <f>HYPERLINK("http://www.replit.com", "www.replit.com")</f>
        <v>www.replit.com</v>
      </c>
      <c r="N116" s="11" t="str">
        <f>HYPERLINK("https://my.pitchbook.com?c=113831-02", "View Company Online")</f>
        <v>View Company Online</v>
      </c>
    </row>
    <row r="117" spans="1:14" x14ac:dyDescent="0.35">
      <c r="A117" s="6" t="s">
        <v>304</v>
      </c>
      <c r="B117" s="6" t="s">
        <v>39</v>
      </c>
      <c r="C117" s="6" t="s">
        <v>40</v>
      </c>
      <c r="D117" s="32">
        <v>874.1</v>
      </c>
      <c r="E117" s="20">
        <v>46084</v>
      </c>
      <c r="F117" s="32">
        <v>3800</v>
      </c>
      <c r="G117" s="20">
        <v>46084</v>
      </c>
      <c r="H117" s="44">
        <v>1</v>
      </c>
      <c r="I117" s="44">
        <v>97</v>
      </c>
      <c r="J117" s="6" t="s">
        <v>305</v>
      </c>
      <c r="K117" s="6" t="s">
        <v>79</v>
      </c>
      <c r="L117" s="56">
        <v>2015</v>
      </c>
      <c r="M117" s="12" t="str">
        <f>HYPERLINK("http://www.ayarlabs.com", "www.ayarlabs.com")</f>
        <v>www.ayarlabs.com</v>
      </c>
      <c r="N117" s="12" t="str">
        <f>HYPERLINK("https://my.pitchbook.com?c=113119-75", "View Company Online")</f>
        <v>View Company Online</v>
      </c>
    </row>
    <row r="118" spans="1:14" x14ac:dyDescent="0.35">
      <c r="A118" s="5" t="s">
        <v>306</v>
      </c>
      <c r="B118" s="6" t="s">
        <v>1192</v>
      </c>
      <c r="C118" s="5" t="s">
        <v>36</v>
      </c>
      <c r="D118" s="31">
        <v>866.46</v>
      </c>
      <c r="E118" s="19">
        <v>45323</v>
      </c>
      <c r="F118" s="31">
        <v>3600</v>
      </c>
      <c r="G118" s="19">
        <v>44834</v>
      </c>
      <c r="H118" s="43">
        <v>9</v>
      </c>
      <c r="I118" s="43">
        <v>83</v>
      </c>
      <c r="J118" s="5" t="s">
        <v>307</v>
      </c>
      <c r="K118" s="5" t="s">
        <v>68</v>
      </c>
      <c r="L118" s="55">
        <v>2012</v>
      </c>
      <c r="M118" s="11" t="str">
        <f>HYPERLINK("http://www.improbable.io", "www.improbable.io")</f>
        <v>www.improbable.io</v>
      </c>
      <c r="N118" s="11" t="str">
        <f>HYPERLINK("https://my.pitchbook.com?c=91141-75", "View Company Online")</f>
        <v>View Company Online</v>
      </c>
    </row>
    <row r="119" spans="1:14" x14ac:dyDescent="0.35">
      <c r="A119" s="6" t="s">
        <v>308</v>
      </c>
      <c r="B119" s="6" t="s">
        <v>15</v>
      </c>
      <c r="C119" s="6" t="s">
        <v>16</v>
      </c>
      <c r="D119" s="32">
        <v>863</v>
      </c>
      <c r="E119" s="20" t="s">
        <v>24</v>
      </c>
      <c r="F119" s="32">
        <v>9300</v>
      </c>
      <c r="G119" s="20">
        <v>45930</v>
      </c>
      <c r="H119" s="44">
        <v>8</v>
      </c>
      <c r="I119" s="44">
        <v>90</v>
      </c>
      <c r="J119" s="6" t="s">
        <v>309</v>
      </c>
      <c r="K119" s="6" t="s">
        <v>310</v>
      </c>
      <c r="L119" s="56">
        <v>2015</v>
      </c>
      <c r="M119" s="12" t="str">
        <f>HYPERLINK("http://www.vercel.com", "www.vercel.com")</f>
        <v>www.vercel.com</v>
      </c>
      <c r="N119" s="12" t="str">
        <f>HYPERLINK("https://my.pitchbook.com?c=167175-28", "View Company Online")</f>
        <v>View Company Online</v>
      </c>
    </row>
    <row r="120" spans="1:14" x14ac:dyDescent="0.35">
      <c r="A120" s="5" t="s">
        <v>311</v>
      </c>
      <c r="B120" s="6" t="s">
        <v>1192</v>
      </c>
      <c r="C120" s="5" t="s">
        <v>44</v>
      </c>
      <c r="D120" s="31">
        <v>860</v>
      </c>
      <c r="E120" s="19">
        <v>45719</v>
      </c>
      <c r="F120" s="31">
        <v>5000</v>
      </c>
      <c r="G120" s="19">
        <v>44736</v>
      </c>
      <c r="H120" s="43">
        <v>32</v>
      </c>
      <c r="I120" s="43">
        <v>64</v>
      </c>
      <c r="J120" s="5" t="s">
        <v>312</v>
      </c>
      <c r="K120" s="5" t="s">
        <v>18</v>
      </c>
      <c r="L120" s="55">
        <v>2017</v>
      </c>
      <c r="M120" s="11" t="str">
        <f>HYPERLINK("http://www.coalitioninc.com", "www.coalitioninc.com")</f>
        <v>www.coalitioninc.com</v>
      </c>
      <c r="N120" s="11" t="str">
        <f>HYPERLINK("https://my.pitchbook.com?c=226290-34", "View Company Online")</f>
        <v>View Company Online</v>
      </c>
    </row>
    <row r="121" spans="1:14" x14ac:dyDescent="0.35">
      <c r="A121" s="6" t="s">
        <v>313</v>
      </c>
      <c r="B121" s="6" t="s">
        <v>1192</v>
      </c>
      <c r="C121" s="6" t="s">
        <v>31</v>
      </c>
      <c r="D121" s="32">
        <v>858.92</v>
      </c>
      <c r="E121" s="20">
        <v>45957</v>
      </c>
      <c r="F121" s="32">
        <v>5300</v>
      </c>
      <c r="G121" s="20">
        <v>45957</v>
      </c>
      <c r="H121" s="44">
        <v>15</v>
      </c>
      <c r="I121" s="44">
        <v>83</v>
      </c>
      <c r="J121" s="6" t="s">
        <v>314</v>
      </c>
      <c r="K121" s="6" t="s">
        <v>90</v>
      </c>
      <c r="L121" s="56">
        <v>2018</v>
      </c>
      <c r="M121" s="12" t="str">
        <f>HYPERLINK("http://www.runwayml.com", "www.runwayml.com")</f>
        <v>www.runwayml.com</v>
      </c>
      <c r="N121" s="12" t="str">
        <f>HYPERLINK("https://my.pitchbook.com?c=268803-28", "View Company Online")</f>
        <v>View Company Online</v>
      </c>
    </row>
    <row r="122" spans="1:14" x14ac:dyDescent="0.35">
      <c r="A122" s="5" t="s">
        <v>315</v>
      </c>
      <c r="B122" s="5" t="s">
        <v>26</v>
      </c>
      <c r="C122" s="5" t="s">
        <v>55</v>
      </c>
      <c r="D122" s="31">
        <v>855.93</v>
      </c>
      <c r="E122" s="19">
        <v>45611</v>
      </c>
      <c r="F122" s="31">
        <v>2200</v>
      </c>
      <c r="G122" s="19">
        <v>45611</v>
      </c>
      <c r="H122" s="43">
        <v>10</v>
      </c>
      <c r="I122" s="43">
        <v>88</v>
      </c>
      <c r="J122" s="5" t="s">
        <v>316</v>
      </c>
      <c r="K122" s="5" t="s">
        <v>197</v>
      </c>
      <c r="L122" s="55">
        <v>2014</v>
      </c>
      <c r="M122" s="11" t="str">
        <f>HYPERLINK("http://www.skydio.com", "www.skydio.com")</f>
        <v>www.skydio.com</v>
      </c>
      <c r="N122" s="11" t="str">
        <f>HYPERLINK("https://my.pitchbook.com?c=107147-08", "View Company Online")</f>
        <v>View Company Online</v>
      </c>
    </row>
    <row r="123" spans="1:14" x14ac:dyDescent="0.35">
      <c r="A123" s="6" t="s">
        <v>317</v>
      </c>
      <c r="B123" s="6" t="s">
        <v>39</v>
      </c>
      <c r="C123" s="6" t="s">
        <v>178</v>
      </c>
      <c r="D123" s="32">
        <v>852.47</v>
      </c>
      <c r="E123" s="20">
        <v>45561</v>
      </c>
      <c r="F123" s="32">
        <v>3164.64</v>
      </c>
      <c r="G123" s="20">
        <v>44712</v>
      </c>
      <c r="H123" s="44" t="s">
        <v>24</v>
      </c>
      <c r="I123" s="44" t="s">
        <v>24</v>
      </c>
      <c r="J123" s="6" t="s">
        <v>318</v>
      </c>
      <c r="K123" s="6" t="s">
        <v>34</v>
      </c>
      <c r="L123" s="56">
        <v>2015</v>
      </c>
      <c r="M123" s="12" t="str">
        <f>HYPERLINK("http://www.tslsmart.com", "www.tslsmart.com")</f>
        <v>www.tslsmart.com</v>
      </c>
      <c r="N123" s="12" t="str">
        <f>HYPERLINK("https://my.pitchbook.com?c=179628-94", "View Company Online")</f>
        <v>View Company Online</v>
      </c>
    </row>
    <row r="124" spans="1:14" x14ac:dyDescent="0.35">
      <c r="A124" s="5" t="s">
        <v>319</v>
      </c>
      <c r="B124" s="5" t="s">
        <v>15</v>
      </c>
      <c r="C124" s="5" t="s">
        <v>16</v>
      </c>
      <c r="D124" s="31">
        <v>851.89</v>
      </c>
      <c r="E124" s="19">
        <v>44907</v>
      </c>
      <c r="F124" s="31">
        <v>3700</v>
      </c>
      <c r="G124" s="19">
        <v>44907</v>
      </c>
      <c r="H124" s="43">
        <v>69</v>
      </c>
      <c r="I124" s="43">
        <v>29</v>
      </c>
      <c r="J124" s="5" t="s">
        <v>320</v>
      </c>
      <c r="K124" s="5" t="s">
        <v>90</v>
      </c>
      <c r="L124" s="55">
        <v>2013</v>
      </c>
      <c r="M124" s="11" t="str">
        <f>HYPERLINK("http://www.dataiku.com", "www.dataiku.com")</f>
        <v>www.dataiku.com</v>
      </c>
      <c r="N124" s="11" t="str">
        <f>HYPERLINK("https://my.pitchbook.com?c=86021-02", "View Company Online")</f>
        <v>View Company Online</v>
      </c>
    </row>
    <row r="125" spans="1:14" x14ac:dyDescent="0.35">
      <c r="A125" s="6" t="s">
        <v>321</v>
      </c>
      <c r="B125" s="6" t="s">
        <v>1192</v>
      </c>
      <c r="C125" s="6" t="s">
        <v>31</v>
      </c>
      <c r="D125" s="32">
        <v>850.44</v>
      </c>
      <c r="E125" s="20">
        <v>46057</v>
      </c>
      <c r="F125" s="32">
        <v>11000</v>
      </c>
      <c r="G125" s="20">
        <v>46057</v>
      </c>
      <c r="H125" s="44">
        <v>1</v>
      </c>
      <c r="I125" s="44">
        <v>91</v>
      </c>
      <c r="J125" s="6" t="s">
        <v>322</v>
      </c>
      <c r="K125" s="6" t="s">
        <v>90</v>
      </c>
      <c r="L125" s="56">
        <v>2022</v>
      </c>
      <c r="M125" s="12" t="str">
        <f>HYPERLINK("http://www.elevenlabs.io", "www.elevenlabs.io")</f>
        <v>www.elevenlabs.io</v>
      </c>
      <c r="N125" s="12" t="str">
        <f>HYPERLINK("https://my.pitchbook.com?c=509315-23", "View Company Online")</f>
        <v>View Company Online</v>
      </c>
    </row>
    <row r="126" spans="1:14" x14ac:dyDescent="0.35">
      <c r="A126" s="5" t="s">
        <v>323</v>
      </c>
      <c r="B126" s="5" t="s">
        <v>26</v>
      </c>
      <c r="C126" s="5" t="s">
        <v>55</v>
      </c>
      <c r="D126" s="31">
        <v>845</v>
      </c>
      <c r="E126" s="19" t="s">
        <v>24</v>
      </c>
      <c r="F126" s="31">
        <v>7500</v>
      </c>
      <c r="G126" s="19" t="s">
        <v>24</v>
      </c>
      <c r="H126" s="43">
        <v>54</v>
      </c>
      <c r="I126" s="43">
        <v>41</v>
      </c>
      <c r="J126" s="5" t="s">
        <v>324</v>
      </c>
      <c r="K126" s="5" t="s">
        <v>280</v>
      </c>
      <c r="L126" s="55">
        <v>2022</v>
      </c>
      <c r="M126" s="11" t="str">
        <f>HYPERLINK("http://www.saronic.com", "www.saronic.com")</f>
        <v>www.saronic.com</v>
      </c>
      <c r="N126" s="11" t="str">
        <f>HYPERLINK("https://my.pitchbook.com?c=510655-60", "View Company Online")</f>
        <v>View Company Online</v>
      </c>
    </row>
    <row r="127" spans="1:14" x14ac:dyDescent="0.35">
      <c r="A127" s="6" t="s">
        <v>325</v>
      </c>
      <c r="B127" s="6" t="s">
        <v>39</v>
      </c>
      <c r="C127" s="6" t="s">
        <v>40</v>
      </c>
      <c r="D127" s="32">
        <v>821.36</v>
      </c>
      <c r="E127" s="20">
        <v>46021</v>
      </c>
      <c r="F127" s="32">
        <v>4400</v>
      </c>
      <c r="G127" s="20">
        <v>45581</v>
      </c>
      <c r="H127" s="44">
        <v>9</v>
      </c>
      <c r="I127" s="44">
        <v>89</v>
      </c>
      <c r="J127" s="6" t="s">
        <v>326</v>
      </c>
      <c r="K127" s="6" t="s">
        <v>29</v>
      </c>
      <c r="L127" s="56">
        <v>2017</v>
      </c>
      <c r="M127" s="12" t="str">
        <f>HYPERLINK("http://www.lightmatter.co", "www.lightmatter.co")</f>
        <v>www.lightmatter.co</v>
      </c>
      <c r="N127" s="12" t="str">
        <f>HYPERLINK("https://my.pitchbook.com?c=224352-73", "View Company Online")</f>
        <v>View Company Online</v>
      </c>
    </row>
    <row r="128" spans="1:14" x14ac:dyDescent="0.35">
      <c r="A128" s="5" t="s">
        <v>327</v>
      </c>
      <c r="B128" s="6" t="s">
        <v>1192</v>
      </c>
      <c r="C128" s="5" t="s">
        <v>36</v>
      </c>
      <c r="D128" s="31">
        <v>817.79</v>
      </c>
      <c r="E128" s="19">
        <v>44868</v>
      </c>
      <c r="F128" s="31">
        <v>2700</v>
      </c>
      <c r="G128" s="19">
        <v>44868</v>
      </c>
      <c r="H128" s="43">
        <v>19</v>
      </c>
      <c r="I128" s="43">
        <v>79</v>
      </c>
      <c r="J128" s="5" t="s">
        <v>328</v>
      </c>
      <c r="K128" s="5" t="s">
        <v>76</v>
      </c>
      <c r="L128" s="55">
        <v>2014</v>
      </c>
      <c r="M128" s="11" t="str">
        <f>HYPERLINK("http://www.project44.com", "www.project44.com")</f>
        <v>www.project44.com</v>
      </c>
      <c r="N128" s="11" t="str">
        <f>HYPERLINK("https://my.pitchbook.com?c=153151-93", "View Company Online")</f>
        <v>View Company Online</v>
      </c>
    </row>
    <row r="129" spans="1:14" x14ac:dyDescent="0.35">
      <c r="A129" s="6" t="s">
        <v>329</v>
      </c>
      <c r="B129" s="6" t="s">
        <v>1192</v>
      </c>
      <c r="C129" s="6" t="s">
        <v>44</v>
      </c>
      <c r="D129" s="32">
        <v>816.03</v>
      </c>
      <c r="E129" s="20">
        <v>46091</v>
      </c>
      <c r="F129" s="32">
        <v>5550</v>
      </c>
      <c r="G129" s="20">
        <v>46091</v>
      </c>
      <c r="H129" s="44">
        <v>9</v>
      </c>
      <c r="I129" s="44">
        <v>88</v>
      </c>
      <c r="J129" s="6" t="s">
        <v>330</v>
      </c>
      <c r="K129" s="6" t="s">
        <v>331</v>
      </c>
      <c r="L129" s="56">
        <v>2021</v>
      </c>
      <c r="M129" s="12" t="str">
        <f>HYPERLINK("http://www.legora.com", "www.legora.com")</f>
        <v>www.legora.com</v>
      </c>
      <c r="N129" s="12" t="str">
        <f>HYPERLINK("https://my.pitchbook.com?c=539201-26", "View Company Online")</f>
        <v>View Company Online</v>
      </c>
    </row>
    <row r="130" spans="1:14" x14ac:dyDescent="0.35">
      <c r="A130" s="5" t="s">
        <v>332</v>
      </c>
      <c r="B130" s="5" t="s">
        <v>15</v>
      </c>
      <c r="C130" s="5" t="s">
        <v>22</v>
      </c>
      <c r="D130" s="31">
        <v>814.61</v>
      </c>
      <c r="E130" s="19" t="s">
        <v>24</v>
      </c>
      <c r="F130" s="31">
        <v>5500</v>
      </c>
      <c r="G130" s="19">
        <v>46002</v>
      </c>
      <c r="H130" s="43">
        <v>10</v>
      </c>
      <c r="I130" s="43">
        <v>85</v>
      </c>
      <c r="J130" s="5" t="s">
        <v>333</v>
      </c>
      <c r="K130" s="5" t="s">
        <v>18</v>
      </c>
      <c r="L130" s="55">
        <v>2017</v>
      </c>
      <c r="M130" s="11" t="str">
        <f>HYPERLINK("http://www.harness.io", "www.harness.io")</f>
        <v>www.harness.io</v>
      </c>
      <c r="N130" s="11" t="str">
        <f>HYPERLINK("https://my.pitchbook.com?c=187740-28", "View Company Online")</f>
        <v>View Company Online</v>
      </c>
    </row>
    <row r="131" spans="1:14" x14ac:dyDescent="0.35">
      <c r="A131" s="6" t="s">
        <v>334</v>
      </c>
      <c r="B131" s="6" t="s">
        <v>39</v>
      </c>
      <c r="C131" s="6" t="s">
        <v>70</v>
      </c>
      <c r="D131" s="32">
        <v>812</v>
      </c>
      <c r="E131" s="20">
        <v>45831</v>
      </c>
      <c r="F131" s="32">
        <v>3500</v>
      </c>
      <c r="G131" s="20">
        <v>45643</v>
      </c>
      <c r="H131" s="44" t="s">
        <v>24</v>
      </c>
      <c r="I131" s="44" t="s">
        <v>24</v>
      </c>
      <c r="J131" s="6" t="s">
        <v>335</v>
      </c>
      <c r="K131" s="6" t="s">
        <v>336</v>
      </c>
      <c r="L131" s="56">
        <v>2014</v>
      </c>
      <c r="M131" s="12" t="str">
        <f>HYPERLINK("http://www.vultr.com", "www.vultr.com")</f>
        <v>www.vultr.com</v>
      </c>
      <c r="N131" s="12" t="str">
        <f>HYPERLINK("https://my.pitchbook.com?c=117278-02", "View Company Online")</f>
        <v>View Company Online</v>
      </c>
    </row>
    <row r="132" spans="1:14" x14ac:dyDescent="0.35">
      <c r="A132" s="5" t="s">
        <v>337</v>
      </c>
      <c r="B132" s="6" t="s">
        <v>1192</v>
      </c>
      <c r="C132" s="5" t="s">
        <v>44</v>
      </c>
      <c r="D132" s="31">
        <v>811.85</v>
      </c>
      <c r="E132" s="19">
        <v>45793</v>
      </c>
      <c r="F132" s="31">
        <v>4600</v>
      </c>
      <c r="G132" s="19">
        <v>44470</v>
      </c>
      <c r="H132" s="43">
        <v>20</v>
      </c>
      <c r="I132" s="43">
        <v>78</v>
      </c>
      <c r="J132" s="5" t="s">
        <v>338</v>
      </c>
      <c r="K132" s="5" t="s">
        <v>18</v>
      </c>
      <c r="L132" s="55">
        <v>2014</v>
      </c>
      <c r="M132" s="11" t="str">
        <f>HYPERLINK("http://www.checkr.com", "www.checkr.com")</f>
        <v>www.checkr.com</v>
      </c>
      <c r="N132" s="11" t="str">
        <f>HYPERLINK("https://my.pitchbook.com?c=97867-54", "View Company Online")</f>
        <v>View Company Online</v>
      </c>
    </row>
    <row r="133" spans="1:14" x14ac:dyDescent="0.35">
      <c r="A133" s="6" t="s">
        <v>339</v>
      </c>
      <c r="B133" s="6" t="s">
        <v>1192</v>
      </c>
      <c r="C133" s="6" t="s">
        <v>48</v>
      </c>
      <c r="D133" s="32">
        <v>810.43</v>
      </c>
      <c r="E133" s="20">
        <v>46057</v>
      </c>
      <c r="F133" s="32">
        <v>586.92999999999995</v>
      </c>
      <c r="G133" s="20">
        <v>45999</v>
      </c>
      <c r="H133" s="44">
        <v>9</v>
      </c>
      <c r="I133" s="44">
        <v>85</v>
      </c>
      <c r="J133" s="6" t="s">
        <v>340</v>
      </c>
      <c r="K133" s="6" t="s">
        <v>341</v>
      </c>
      <c r="L133" s="56">
        <v>2020</v>
      </c>
      <c r="M133" s="12" t="str">
        <f>HYPERLINK("http://www.clara.com", "www.clara.com")</f>
        <v>www.clara.com</v>
      </c>
      <c r="N133" s="12" t="str">
        <f>HYPERLINK("https://my.pitchbook.com?c=462296-26", "View Company Online")</f>
        <v>View Company Online</v>
      </c>
    </row>
    <row r="134" spans="1:14" x14ac:dyDescent="0.35">
      <c r="A134" s="5" t="s">
        <v>342</v>
      </c>
      <c r="B134" s="6" t="s">
        <v>1192</v>
      </c>
      <c r="C134" s="5" t="s">
        <v>74</v>
      </c>
      <c r="D134" s="31">
        <v>810.39</v>
      </c>
      <c r="E134" s="19">
        <v>45200</v>
      </c>
      <c r="F134" s="31" t="s">
        <v>24</v>
      </c>
      <c r="G134" s="19" t="s">
        <v>24</v>
      </c>
      <c r="H134" s="43" t="s">
        <v>24</v>
      </c>
      <c r="I134" s="43" t="s">
        <v>24</v>
      </c>
      <c r="J134" s="5" t="s">
        <v>343</v>
      </c>
      <c r="K134" s="5" t="s">
        <v>34</v>
      </c>
      <c r="L134" s="55">
        <v>2013</v>
      </c>
      <c r="M134" s="11" t="str">
        <f>HYPERLINK("http://www.for-u.com", "www.for-u.com")</f>
        <v>www.for-u.com</v>
      </c>
      <c r="N134" s="11" t="str">
        <f>HYPERLINK("https://my.pitchbook.com?c=149912-83", "View Company Online")</f>
        <v>View Company Online</v>
      </c>
    </row>
    <row r="135" spans="1:14" x14ac:dyDescent="0.35">
      <c r="A135" s="6" t="s">
        <v>344</v>
      </c>
      <c r="B135" s="6" t="s">
        <v>15</v>
      </c>
      <c r="C135" s="6" t="s">
        <v>22</v>
      </c>
      <c r="D135" s="32">
        <v>808.85</v>
      </c>
      <c r="E135" s="20">
        <v>45719</v>
      </c>
      <c r="F135" s="32">
        <v>4424</v>
      </c>
      <c r="G135" s="20">
        <v>45125</v>
      </c>
      <c r="H135" s="44">
        <v>4</v>
      </c>
      <c r="I135" s="44">
        <v>94</v>
      </c>
      <c r="J135" s="6" t="s">
        <v>345</v>
      </c>
      <c r="K135" s="6" t="s">
        <v>29</v>
      </c>
      <c r="L135" s="56">
        <v>2012</v>
      </c>
      <c r="M135" s="12" t="str">
        <f>HYPERLINK("http://www.thoughtspot.com", "www.thoughtspot.com")</f>
        <v>www.thoughtspot.com</v>
      </c>
      <c r="N135" s="12" t="str">
        <f>HYPERLINK("https://my.pitchbook.com?c=60688-72", "View Company Online")</f>
        <v>View Company Online</v>
      </c>
    </row>
    <row r="136" spans="1:14" x14ac:dyDescent="0.35">
      <c r="A136" s="5" t="s">
        <v>346</v>
      </c>
      <c r="B136" s="6" t="s">
        <v>1192</v>
      </c>
      <c r="C136" s="5" t="s">
        <v>48</v>
      </c>
      <c r="D136" s="31">
        <v>803.7</v>
      </c>
      <c r="E136" s="19">
        <v>45962</v>
      </c>
      <c r="F136" s="31">
        <v>3000</v>
      </c>
      <c r="G136" s="19">
        <v>45962</v>
      </c>
      <c r="H136" s="43">
        <v>11</v>
      </c>
      <c r="I136" s="43">
        <v>85</v>
      </c>
      <c r="J136" s="5" t="s">
        <v>347</v>
      </c>
      <c r="K136" s="5" t="s">
        <v>18</v>
      </c>
      <c r="L136" s="55">
        <v>2015</v>
      </c>
      <c r="M136" s="11" t="str">
        <f>HYPERLINK("http://www.humaninterest.com", "www.humaninterest.com")</f>
        <v>www.humaninterest.com</v>
      </c>
      <c r="N136" s="11" t="str">
        <f>HYPERLINK("https://my.pitchbook.com?c=120927-25", "View Company Online")</f>
        <v>View Company Online</v>
      </c>
    </row>
    <row r="137" spans="1:14" x14ac:dyDescent="0.35">
      <c r="A137" s="6" t="s">
        <v>348</v>
      </c>
      <c r="B137" s="6" t="s">
        <v>1192</v>
      </c>
      <c r="C137" s="6" t="s">
        <v>44</v>
      </c>
      <c r="D137" s="32">
        <v>801.54</v>
      </c>
      <c r="E137" s="20" t="s">
        <v>24</v>
      </c>
      <c r="F137" s="32">
        <v>1650</v>
      </c>
      <c r="G137" s="20">
        <v>44469</v>
      </c>
      <c r="H137" s="44">
        <v>4</v>
      </c>
      <c r="I137" s="44">
        <v>86</v>
      </c>
      <c r="J137" s="6" t="s">
        <v>349</v>
      </c>
      <c r="K137" s="6" t="s">
        <v>206</v>
      </c>
      <c r="L137" s="56">
        <v>2014</v>
      </c>
      <c r="M137" s="12" t="str">
        <f>HYPERLINK("http://www.perfectday.com", "www.perfectday.com")</f>
        <v>www.perfectday.com</v>
      </c>
      <c r="N137" s="12" t="str">
        <f>HYPERLINK("https://my.pitchbook.com?c=86810-50", "View Company Online")</f>
        <v>View Company Online</v>
      </c>
    </row>
    <row r="138" spans="1:14" x14ac:dyDescent="0.35">
      <c r="A138" s="5" t="s">
        <v>350</v>
      </c>
      <c r="B138" s="5" t="s">
        <v>15</v>
      </c>
      <c r="C138" s="5" t="s">
        <v>156</v>
      </c>
      <c r="D138" s="31">
        <v>795.4</v>
      </c>
      <c r="E138" s="19">
        <v>46043</v>
      </c>
      <c r="F138" s="31">
        <v>12000</v>
      </c>
      <c r="G138" s="19">
        <v>46043</v>
      </c>
      <c r="H138" s="43">
        <v>9</v>
      </c>
      <c r="I138" s="43">
        <v>62</v>
      </c>
      <c r="J138" s="5" t="s">
        <v>351</v>
      </c>
      <c r="K138" s="5" t="s">
        <v>352</v>
      </c>
      <c r="L138" s="55">
        <v>2017</v>
      </c>
      <c r="M138" s="11" t="str">
        <f>HYPERLINK("http://www.openevidence.com", "www.openevidence.com")</f>
        <v>www.openevidence.com</v>
      </c>
      <c r="N138" s="11" t="str">
        <f>HYPERLINK("https://my.pitchbook.com?c=512765-92", "View Company Online")</f>
        <v>View Company Online</v>
      </c>
    </row>
    <row r="139" spans="1:14" x14ac:dyDescent="0.35">
      <c r="A139" s="6" t="s">
        <v>353</v>
      </c>
      <c r="B139" s="6" t="s">
        <v>1192</v>
      </c>
      <c r="C139" s="6" t="s">
        <v>159</v>
      </c>
      <c r="D139" s="32">
        <v>789.71</v>
      </c>
      <c r="E139" s="20">
        <v>45827</v>
      </c>
      <c r="F139" s="32">
        <v>3500</v>
      </c>
      <c r="G139" s="20">
        <v>44579</v>
      </c>
      <c r="H139" s="44">
        <v>25</v>
      </c>
      <c r="I139" s="44">
        <v>73</v>
      </c>
      <c r="J139" s="6" t="s">
        <v>354</v>
      </c>
      <c r="K139" s="6" t="s">
        <v>29</v>
      </c>
      <c r="L139" s="56">
        <v>2017</v>
      </c>
      <c r="M139" s="12" t="str">
        <f>HYPERLINK("http://www.commure.com", "www.commure.com")</f>
        <v>www.commure.com</v>
      </c>
      <c r="N139" s="12" t="str">
        <f>HYPERLINK("https://my.pitchbook.com?c=187710-13", "View Company Online")</f>
        <v>View Company Online</v>
      </c>
    </row>
    <row r="140" spans="1:14" x14ac:dyDescent="0.35">
      <c r="A140" s="5" t="s">
        <v>355</v>
      </c>
      <c r="B140" s="6" t="s">
        <v>1192</v>
      </c>
      <c r="C140" s="5" t="s">
        <v>31</v>
      </c>
      <c r="D140" s="31">
        <v>785.76</v>
      </c>
      <c r="E140" s="19">
        <v>45142</v>
      </c>
      <c r="F140" s="31">
        <v>3500</v>
      </c>
      <c r="G140" s="19">
        <v>44572</v>
      </c>
      <c r="H140" s="43">
        <v>18</v>
      </c>
      <c r="I140" s="43">
        <v>78</v>
      </c>
      <c r="J140" s="5" t="s">
        <v>356</v>
      </c>
      <c r="K140" s="5" t="s">
        <v>357</v>
      </c>
      <c r="L140" s="55">
        <v>2016</v>
      </c>
      <c r="M140" s="11" t="str">
        <f>HYPERLINK("http://www.gostudent.org", "www.gostudent.org")</f>
        <v>www.gostudent.org</v>
      </c>
      <c r="N140" s="11" t="str">
        <f>HYPERLINK("https://my.pitchbook.com?c=179934-49", "View Company Online")</f>
        <v>View Company Online</v>
      </c>
    </row>
    <row r="141" spans="1:14" x14ac:dyDescent="0.35">
      <c r="A141" s="6" t="s">
        <v>358</v>
      </c>
      <c r="B141" s="6" t="s">
        <v>1192</v>
      </c>
      <c r="C141" s="6" t="s">
        <v>31</v>
      </c>
      <c r="D141" s="32">
        <v>784.77</v>
      </c>
      <c r="E141" s="20">
        <v>45512</v>
      </c>
      <c r="F141" s="32">
        <v>894</v>
      </c>
      <c r="G141" s="20">
        <v>45512</v>
      </c>
      <c r="H141" s="44">
        <v>19</v>
      </c>
      <c r="I141" s="44">
        <v>79</v>
      </c>
      <c r="J141" s="6" t="s">
        <v>359</v>
      </c>
      <c r="K141" s="6" t="s">
        <v>18</v>
      </c>
      <c r="L141" s="56">
        <v>2013</v>
      </c>
      <c r="M141" s="12" t="str">
        <f>HYPERLINK("http://www.flyr.com", "www.flyr.com")</f>
        <v>www.flyr.com</v>
      </c>
      <c r="N141" s="12" t="str">
        <f>HYPERLINK("https://my.pitchbook.com?c=91962-28", "View Company Online")</f>
        <v>View Company Online</v>
      </c>
    </row>
    <row r="142" spans="1:14" x14ac:dyDescent="0.35">
      <c r="A142" s="5" t="s">
        <v>360</v>
      </c>
      <c r="B142" s="6" t="s">
        <v>1192</v>
      </c>
      <c r="C142" s="5" t="s">
        <v>31</v>
      </c>
      <c r="D142" s="31">
        <v>780</v>
      </c>
      <c r="E142" s="19" t="s">
        <v>24</v>
      </c>
      <c r="F142" s="31">
        <v>9000</v>
      </c>
      <c r="G142" s="19">
        <v>44522</v>
      </c>
      <c r="H142" s="43">
        <v>3</v>
      </c>
      <c r="I142" s="43">
        <v>85</v>
      </c>
      <c r="J142" s="5" t="s">
        <v>361</v>
      </c>
      <c r="K142" s="5" t="s">
        <v>18</v>
      </c>
      <c r="L142" s="55">
        <v>2010</v>
      </c>
      <c r="M142" s="11" t="str">
        <f>HYPERLINK("http://www.nianticlabs.com", "www.nianticlabs.com")</f>
        <v>www.nianticlabs.com</v>
      </c>
      <c r="N142" s="11" t="str">
        <f>HYPERLINK("https://my.pitchbook.com?c=101984-86", "View Company Online")</f>
        <v>View Company Online</v>
      </c>
    </row>
    <row r="143" spans="1:14" x14ac:dyDescent="0.35">
      <c r="A143" s="6" t="s">
        <v>362</v>
      </c>
      <c r="B143" s="6" t="s">
        <v>1192</v>
      </c>
      <c r="C143" s="6" t="s">
        <v>159</v>
      </c>
      <c r="D143" s="32">
        <v>779.83</v>
      </c>
      <c r="E143" s="20">
        <v>46029</v>
      </c>
      <c r="F143" s="32">
        <v>5300</v>
      </c>
      <c r="G143" s="20">
        <v>45832</v>
      </c>
      <c r="H143" s="44">
        <v>4</v>
      </c>
      <c r="I143" s="44">
        <v>87</v>
      </c>
      <c r="J143" s="6" t="s">
        <v>363</v>
      </c>
      <c r="K143" s="6" t="s">
        <v>112</v>
      </c>
      <c r="L143" s="56">
        <v>2018</v>
      </c>
      <c r="M143" s="12" t="str">
        <f>HYPERLINK("http://www.abridge.com", "www.abridge.com")</f>
        <v>www.abridge.com</v>
      </c>
      <c r="N143" s="12" t="str">
        <f>HYPERLINK("https://my.pitchbook.com?c=268134-40", "View Company Online")</f>
        <v>View Company Online</v>
      </c>
    </row>
    <row r="144" spans="1:14" x14ac:dyDescent="0.35">
      <c r="A144" s="5" t="s">
        <v>364</v>
      </c>
      <c r="B144" s="6" t="s">
        <v>1192</v>
      </c>
      <c r="C144" s="5" t="s">
        <v>74</v>
      </c>
      <c r="D144" s="31">
        <v>777</v>
      </c>
      <c r="E144" s="19">
        <v>45882</v>
      </c>
      <c r="F144" s="31">
        <v>2850</v>
      </c>
      <c r="G144" s="19">
        <v>44706</v>
      </c>
      <c r="H144" s="43">
        <v>23</v>
      </c>
      <c r="I144" s="43">
        <v>75</v>
      </c>
      <c r="J144" s="5" t="s">
        <v>365</v>
      </c>
      <c r="K144" s="5" t="s">
        <v>366</v>
      </c>
      <c r="L144" s="55">
        <v>2013</v>
      </c>
      <c r="M144" s="11" t="str">
        <f>HYPERLINK("http://www.gomotive.com", "www.gomotive.com")</f>
        <v>www.gomotive.com</v>
      </c>
      <c r="N144" s="11" t="str">
        <f>HYPERLINK("https://my.pitchbook.com?c=60683-59", "View Company Online")</f>
        <v>View Company Online</v>
      </c>
    </row>
    <row r="145" spans="1:14" x14ac:dyDescent="0.35">
      <c r="A145" s="6" t="s">
        <v>367</v>
      </c>
      <c r="B145" s="6" t="s">
        <v>1192</v>
      </c>
      <c r="C145" s="6" t="s">
        <v>44</v>
      </c>
      <c r="D145" s="32">
        <v>775.5</v>
      </c>
      <c r="E145" s="20">
        <v>45839</v>
      </c>
      <c r="F145" s="32">
        <v>1000</v>
      </c>
      <c r="G145" s="20">
        <v>44627</v>
      </c>
      <c r="H145" s="44">
        <v>63</v>
      </c>
      <c r="I145" s="44">
        <v>35</v>
      </c>
      <c r="J145" s="6" t="s">
        <v>368</v>
      </c>
      <c r="K145" s="6" t="s">
        <v>90</v>
      </c>
      <c r="L145" s="56">
        <v>2017</v>
      </c>
      <c r="M145" s="12" t="str">
        <f>HYPERLINK("http://www.bluevoyant.com", "www.bluevoyant.com")</f>
        <v>www.bluevoyant.com</v>
      </c>
      <c r="N145" s="12" t="str">
        <f>HYPERLINK("https://my.pitchbook.com?c=184297-60", "View Company Online")</f>
        <v>View Company Online</v>
      </c>
    </row>
    <row r="146" spans="1:14" x14ac:dyDescent="0.35">
      <c r="A146" s="5" t="s">
        <v>369</v>
      </c>
      <c r="B146" s="6" t="s">
        <v>1192</v>
      </c>
      <c r="C146" s="5" t="s">
        <v>44</v>
      </c>
      <c r="D146" s="31">
        <v>773.47</v>
      </c>
      <c r="E146" s="19">
        <v>45597</v>
      </c>
      <c r="F146" s="31">
        <v>2000</v>
      </c>
      <c r="G146" s="19">
        <v>45070</v>
      </c>
      <c r="H146" s="43">
        <v>42</v>
      </c>
      <c r="I146" s="43">
        <v>51</v>
      </c>
      <c r="J146" s="5" t="s">
        <v>370</v>
      </c>
      <c r="K146" s="5" t="s">
        <v>371</v>
      </c>
      <c r="L146" s="55">
        <v>2012</v>
      </c>
      <c r="M146" s="11" t="str">
        <f>HYPERLINK("http://www.insiderone.com", "www.insiderone.com")</f>
        <v>www.insiderone.com</v>
      </c>
      <c r="N146" s="11" t="str">
        <f>HYPERLINK("https://my.pitchbook.com?c=166459-51", "View Company Online")</f>
        <v>View Company Online</v>
      </c>
    </row>
    <row r="147" spans="1:14" x14ac:dyDescent="0.35">
      <c r="A147" s="6" t="s">
        <v>372</v>
      </c>
      <c r="B147" s="6" t="s">
        <v>1192</v>
      </c>
      <c r="C147" s="6" t="s">
        <v>31</v>
      </c>
      <c r="D147" s="32">
        <v>768.17</v>
      </c>
      <c r="E147" s="20">
        <v>45684</v>
      </c>
      <c r="F147" s="32">
        <v>2700</v>
      </c>
      <c r="G147" s="20">
        <v>45684</v>
      </c>
      <c r="H147" s="44">
        <v>4</v>
      </c>
      <c r="I147" s="44">
        <v>94</v>
      </c>
      <c r="J147" s="6" t="s">
        <v>373</v>
      </c>
      <c r="K147" s="6" t="s">
        <v>122</v>
      </c>
      <c r="L147" s="56">
        <v>2015</v>
      </c>
      <c r="M147" s="12" t="str">
        <f>HYPERLINK("http://www.perk.com", "www.perk.com")</f>
        <v>www.perk.com</v>
      </c>
      <c r="N147" s="12" t="str">
        <f>HYPERLINK("https://my.pitchbook.com?c=113643-01", "View Company Online")</f>
        <v>View Company Online</v>
      </c>
    </row>
    <row r="148" spans="1:14" x14ac:dyDescent="0.35">
      <c r="A148" s="5" t="s">
        <v>374</v>
      </c>
      <c r="B148" s="5" t="s">
        <v>15</v>
      </c>
      <c r="C148" s="5" t="s">
        <v>156</v>
      </c>
      <c r="D148" s="31">
        <v>765.3</v>
      </c>
      <c r="E148" s="19">
        <v>45986</v>
      </c>
      <c r="F148" s="31">
        <v>7200</v>
      </c>
      <c r="G148" s="19">
        <v>45986</v>
      </c>
      <c r="H148" s="43">
        <v>1</v>
      </c>
      <c r="I148" s="43">
        <v>97</v>
      </c>
      <c r="J148" s="5" t="s">
        <v>375</v>
      </c>
      <c r="K148" s="5" t="s">
        <v>83</v>
      </c>
      <c r="L148" s="55">
        <v>2019</v>
      </c>
      <c r="M148" s="11" t="str">
        <f>HYPERLINK("http://www.glean.com", "www.glean.com")</f>
        <v>www.glean.com</v>
      </c>
      <c r="N148" s="11" t="str">
        <f>HYPERLINK("https://my.pitchbook.com?c=438274-72", "View Company Online")</f>
        <v>View Company Online</v>
      </c>
    </row>
    <row r="149" spans="1:14" x14ac:dyDescent="0.35">
      <c r="A149" s="6" t="s">
        <v>376</v>
      </c>
      <c r="B149" s="6" t="s">
        <v>39</v>
      </c>
      <c r="C149" s="6" t="s">
        <v>40</v>
      </c>
      <c r="D149" s="32">
        <v>764.75</v>
      </c>
      <c r="E149" s="20">
        <v>45838</v>
      </c>
      <c r="F149" s="32">
        <v>15000</v>
      </c>
      <c r="G149" s="20">
        <v>43319</v>
      </c>
      <c r="H149" s="44" t="s">
        <v>24</v>
      </c>
      <c r="I149" s="44" t="s">
        <v>24</v>
      </c>
      <c r="J149" s="6" t="s">
        <v>377</v>
      </c>
      <c r="K149" s="6" t="s">
        <v>34</v>
      </c>
      <c r="L149" s="56">
        <v>2013</v>
      </c>
      <c r="M149" s="12" t="str">
        <f>HYPERLINK("http://www.bitmain.com", "www.bitmain.com")</f>
        <v>www.bitmain.com</v>
      </c>
      <c r="N149" s="12" t="str">
        <f>HYPERLINK("https://my.pitchbook.com?c=153289-81", "View Company Online")</f>
        <v>View Company Online</v>
      </c>
    </row>
    <row r="150" spans="1:14" x14ac:dyDescent="0.35">
      <c r="A150" s="5" t="s">
        <v>378</v>
      </c>
      <c r="B150" s="6" t="s">
        <v>1192</v>
      </c>
      <c r="C150" s="5" t="s">
        <v>44</v>
      </c>
      <c r="D150" s="31">
        <v>757.15</v>
      </c>
      <c r="E150" s="19">
        <v>45965</v>
      </c>
      <c r="F150" s="31">
        <v>1162.1600000000001</v>
      </c>
      <c r="G150" s="19">
        <v>45965</v>
      </c>
      <c r="H150" s="43">
        <v>4</v>
      </c>
      <c r="I150" s="43">
        <v>71</v>
      </c>
      <c r="J150" s="5" t="s">
        <v>379</v>
      </c>
      <c r="K150" s="5" t="s">
        <v>99</v>
      </c>
      <c r="L150" s="55">
        <v>2007</v>
      </c>
      <c r="M150" s="11" t="str">
        <f>HYPERLINK("http://www.brevo.com", "www.brevo.com")</f>
        <v>www.brevo.com</v>
      </c>
      <c r="N150" s="11" t="str">
        <f>HYPERLINK("https://my.pitchbook.com?c=95110-30", "View Company Online")</f>
        <v>View Company Online</v>
      </c>
    </row>
    <row r="151" spans="1:14" x14ac:dyDescent="0.35">
      <c r="A151" s="6" t="s">
        <v>380</v>
      </c>
      <c r="B151" s="6" t="s">
        <v>39</v>
      </c>
      <c r="C151" s="6" t="s">
        <v>40</v>
      </c>
      <c r="D151" s="32">
        <v>744.95</v>
      </c>
      <c r="E151" s="20">
        <v>46021</v>
      </c>
      <c r="F151" s="32">
        <v>5000</v>
      </c>
      <c r="G151" s="20">
        <v>46021</v>
      </c>
      <c r="H151" s="44">
        <v>66</v>
      </c>
      <c r="I151" s="44">
        <v>31</v>
      </c>
      <c r="J151" s="6" t="s">
        <v>381</v>
      </c>
      <c r="K151" s="6" t="s">
        <v>79</v>
      </c>
      <c r="L151" s="56">
        <v>2022</v>
      </c>
      <c r="M151" s="12" t="str">
        <f>HYPERLINK("http://www.etched.com", "www.etched.com")</f>
        <v>www.etched.com</v>
      </c>
      <c r="N151" s="12" t="str">
        <f>HYPERLINK("https://my.pitchbook.com?c=522872-02", "View Company Online")</f>
        <v>View Company Online</v>
      </c>
    </row>
    <row r="152" spans="1:14" x14ac:dyDescent="0.35">
      <c r="A152" s="5" t="s">
        <v>382</v>
      </c>
      <c r="B152" s="6" t="s">
        <v>1192</v>
      </c>
      <c r="C152" s="5" t="s">
        <v>48</v>
      </c>
      <c r="D152" s="31">
        <v>744.05</v>
      </c>
      <c r="E152" s="19">
        <v>45658</v>
      </c>
      <c r="F152" s="31">
        <v>4500</v>
      </c>
      <c r="G152" s="19">
        <v>44509</v>
      </c>
      <c r="H152" s="43">
        <v>26</v>
      </c>
      <c r="I152" s="43">
        <v>72</v>
      </c>
      <c r="J152" s="5" t="s">
        <v>383</v>
      </c>
      <c r="K152" s="5" t="s">
        <v>384</v>
      </c>
      <c r="L152" s="55">
        <v>2012</v>
      </c>
      <c r="M152" s="11" t="str">
        <f>HYPERLINK("http://www.socure.com", "www.socure.com")</f>
        <v>www.socure.com</v>
      </c>
      <c r="N152" s="11" t="str">
        <f>HYPERLINK("https://my.pitchbook.com?c=58411-45", "View Company Online")</f>
        <v>View Company Online</v>
      </c>
    </row>
    <row r="153" spans="1:14" x14ac:dyDescent="0.35">
      <c r="A153" s="6" t="s">
        <v>385</v>
      </c>
      <c r="B153" s="6" t="s">
        <v>26</v>
      </c>
      <c r="C153" s="6" t="s">
        <v>55</v>
      </c>
      <c r="D153" s="32">
        <v>738.78</v>
      </c>
      <c r="E153" s="20">
        <v>46065</v>
      </c>
      <c r="F153" s="32">
        <v>3495.8</v>
      </c>
      <c r="G153" s="20">
        <v>46013</v>
      </c>
      <c r="H153" s="44">
        <v>13</v>
      </c>
      <c r="I153" s="44">
        <v>85</v>
      </c>
      <c r="J153" s="6" t="s">
        <v>386</v>
      </c>
      <c r="K153" s="6" t="s">
        <v>387</v>
      </c>
      <c r="L153" s="56">
        <v>2015</v>
      </c>
      <c r="M153" s="12" t="str">
        <f>HYPERLINK("http://www.quantum-systems.com", "www.quantum-systems.com")</f>
        <v>www.quantum-systems.com</v>
      </c>
      <c r="N153" s="12" t="str">
        <f>HYPERLINK("https://my.pitchbook.com?c=124218-73", "View Company Online")</f>
        <v>View Company Online</v>
      </c>
    </row>
    <row r="154" spans="1:14" x14ac:dyDescent="0.35">
      <c r="A154" s="5" t="s">
        <v>388</v>
      </c>
      <c r="B154" s="5" t="s">
        <v>15</v>
      </c>
      <c r="C154" s="5" t="s">
        <v>156</v>
      </c>
      <c r="D154" s="31">
        <v>738</v>
      </c>
      <c r="E154" s="19">
        <v>45908</v>
      </c>
      <c r="F154" s="31">
        <v>10200</v>
      </c>
      <c r="G154" s="19">
        <v>45908</v>
      </c>
      <c r="H154" s="43">
        <v>5</v>
      </c>
      <c r="I154" s="43">
        <v>88</v>
      </c>
      <c r="J154" s="5" t="s">
        <v>389</v>
      </c>
      <c r="K154" s="5" t="s">
        <v>90</v>
      </c>
      <c r="L154" s="55">
        <v>2023</v>
      </c>
      <c r="M154" s="11" t="str">
        <f>HYPERLINK("http://www.cognition.ai", "www.cognition.ai")</f>
        <v>www.cognition.ai</v>
      </c>
      <c r="N154" s="11" t="str">
        <f>HYPERLINK("https://my.pitchbook.com?c=590473-45", "View Company Online")</f>
        <v>View Company Online</v>
      </c>
    </row>
    <row r="155" spans="1:14" x14ac:dyDescent="0.35">
      <c r="A155" s="6" t="s">
        <v>390</v>
      </c>
      <c r="B155" s="6" t="s">
        <v>15</v>
      </c>
      <c r="C155" s="6" t="s">
        <v>22</v>
      </c>
      <c r="D155" s="32">
        <v>725.21</v>
      </c>
      <c r="E155" s="20">
        <v>45531</v>
      </c>
      <c r="F155" s="32">
        <v>3500</v>
      </c>
      <c r="G155" s="20">
        <v>45531</v>
      </c>
      <c r="H155" s="44">
        <v>42</v>
      </c>
      <c r="I155" s="44">
        <v>56</v>
      </c>
      <c r="J155" s="6" t="s">
        <v>391</v>
      </c>
      <c r="K155" s="6" t="s">
        <v>18</v>
      </c>
      <c r="L155" s="56">
        <v>2018</v>
      </c>
      <c r="M155" s="12" t="str">
        <f>HYPERLINK("http://www.cribl.io", "www.cribl.io")</f>
        <v>www.cribl.io</v>
      </c>
      <c r="N155" s="12" t="str">
        <f>HYPERLINK("https://my.pitchbook.com?c=265916-17", "View Company Online")</f>
        <v>View Company Online</v>
      </c>
    </row>
    <row r="156" spans="1:14" x14ac:dyDescent="0.35">
      <c r="A156" s="5" t="s">
        <v>392</v>
      </c>
      <c r="B156" s="6" t="s">
        <v>1192</v>
      </c>
      <c r="C156" s="5" t="s">
        <v>44</v>
      </c>
      <c r="D156" s="31">
        <v>725</v>
      </c>
      <c r="E156" s="19">
        <v>45379</v>
      </c>
      <c r="F156" s="31">
        <v>4000</v>
      </c>
      <c r="G156" s="19">
        <v>45379</v>
      </c>
      <c r="H156" s="43">
        <v>75</v>
      </c>
      <c r="I156" s="43">
        <v>23</v>
      </c>
      <c r="J156" s="5" t="s">
        <v>393</v>
      </c>
      <c r="K156" s="5" t="s">
        <v>90</v>
      </c>
      <c r="L156" s="55">
        <v>2015</v>
      </c>
      <c r="M156" s="11" t="str">
        <f>HYPERLINK("http://www.thebrandtechgroup.com", "www.thebrandtechgroup.com")</f>
        <v>www.thebrandtechgroup.com</v>
      </c>
      <c r="N156" s="11" t="str">
        <f>HYPERLINK("https://my.pitchbook.com?c=115322-59", "View Company Online")</f>
        <v>View Company Online</v>
      </c>
    </row>
    <row r="157" spans="1:14" x14ac:dyDescent="0.35">
      <c r="A157" s="6" t="s">
        <v>394</v>
      </c>
      <c r="B157" s="6" t="s">
        <v>1192</v>
      </c>
      <c r="C157" s="6" t="s">
        <v>159</v>
      </c>
      <c r="D157" s="32">
        <v>716.22</v>
      </c>
      <c r="E157" s="20">
        <v>45910</v>
      </c>
      <c r="F157" s="32">
        <v>638.21</v>
      </c>
      <c r="G157" s="20">
        <v>45518</v>
      </c>
      <c r="H157" s="44">
        <v>18</v>
      </c>
      <c r="I157" s="44">
        <v>80</v>
      </c>
      <c r="J157" s="6" t="s">
        <v>395</v>
      </c>
      <c r="K157" s="6" t="s">
        <v>122</v>
      </c>
      <c r="L157" s="56">
        <v>2018</v>
      </c>
      <c r="M157" s="12" t="str">
        <f>HYPERLINK("http://www.odysseytx.com", "www.odysseytx.com")</f>
        <v>www.odysseytx.com</v>
      </c>
      <c r="N157" s="12" t="str">
        <f>HYPERLINK("https://my.pitchbook.com?c=482574-16", "View Company Online")</f>
        <v>View Company Online</v>
      </c>
    </row>
    <row r="158" spans="1:14" x14ac:dyDescent="0.35">
      <c r="A158" s="5" t="s">
        <v>396</v>
      </c>
      <c r="B158" s="6" t="s">
        <v>1192</v>
      </c>
      <c r="C158" s="5" t="s">
        <v>36</v>
      </c>
      <c r="D158" s="31">
        <v>704.97</v>
      </c>
      <c r="E158" s="19">
        <v>44481</v>
      </c>
      <c r="F158" s="31">
        <v>2600</v>
      </c>
      <c r="G158" s="19">
        <v>44481</v>
      </c>
      <c r="H158" s="43">
        <v>9</v>
      </c>
      <c r="I158" s="43">
        <v>83</v>
      </c>
      <c r="J158" s="5" t="s">
        <v>397</v>
      </c>
      <c r="K158" s="5" t="s">
        <v>83</v>
      </c>
      <c r="L158" s="55">
        <v>2015</v>
      </c>
      <c r="M158" s="11" t="str">
        <f>HYPERLINK("http://www.plume.com", "www.plume.com")</f>
        <v>www.plume.com</v>
      </c>
      <c r="N158" s="11" t="str">
        <f>HYPERLINK("https://my.pitchbook.com?c=160277-95", "View Company Online")</f>
        <v>View Company Online</v>
      </c>
    </row>
    <row r="159" spans="1:14" x14ac:dyDescent="0.35">
      <c r="A159" s="6" t="s">
        <v>398</v>
      </c>
      <c r="B159" s="6" t="s">
        <v>15</v>
      </c>
      <c r="C159" s="6" t="s">
        <v>16</v>
      </c>
      <c r="D159" s="32">
        <v>700</v>
      </c>
      <c r="E159" s="20">
        <v>45883</v>
      </c>
      <c r="F159" s="32" t="s">
        <v>24</v>
      </c>
      <c r="G159" s="20" t="s">
        <v>24</v>
      </c>
      <c r="H159" s="44" t="s">
        <v>24</v>
      </c>
      <c r="I159" s="44" t="s">
        <v>24</v>
      </c>
      <c r="J159" s="6" t="s">
        <v>399</v>
      </c>
      <c r="K159" s="6" t="s">
        <v>400</v>
      </c>
      <c r="L159" s="56">
        <v>2023</v>
      </c>
      <c r="M159" s="12" t="str">
        <f>HYPERLINK("http://www.deepseek.com", "www.deepseek.com")</f>
        <v>www.deepseek.com</v>
      </c>
      <c r="N159" s="12" t="str">
        <f>HYPERLINK("https://my.pitchbook.com?c=606456-91", "View Company Online")</f>
        <v>View Company Online</v>
      </c>
    </row>
    <row r="160" spans="1:14" x14ac:dyDescent="0.35">
      <c r="A160" s="5" t="s">
        <v>401</v>
      </c>
      <c r="B160" s="6" t="s">
        <v>1192</v>
      </c>
      <c r="C160" s="5" t="s">
        <v>31</v>
      </c>
      <c r="D160" s="31">
        <v>694.6</v>
      </c>
      <c r="E160" s="19">
        <v>45114</v>
      </c>
      <c r="F160" s="31">
        <v>5000</v>
      </c>
      <c r="G160" s="19">
        <v>44592</v>
      </c>
      <c r="H160" s="43">
        <v>8</v>
      </c>
      <c r="I160" s="43">
        <v>90</v>
      </c>
      <c r="J160" s="5" t="s">
        <v>402</v>
      </c>
      <c r="K160" s="5" t="s">
        <v>403</v>
      </c>
      <c r="L160" s="55">
        <v>2007</v>
      </c>
      <c r="M160" s="11" t="str">
        <f>HYPERLINK("http://www.hopper.com", "www.hopper.com")</f>
        <v>www.hopper.com</v>
      </c>
      <c r="N160" s="11" t="str">
        <f>HYPERLINK("https://my.pitchbook.com?c=52684-12", "View Company Online")</f>
        <v>View Company Online</v>
      </c>
    </row>
    <row r="161" spans="1:14" x14ac:dyDescent="0.35">
      <c r="A161" s="6" t="s">
        <v>404</v>
      </c>
      <c r="B161" s="6" t="s">
        <v>1192</v>
      </c>
      <c r="C161" s="6" t="s">
        <v>48</v>
      </c>
      <c r="D161" s="32">
        <v>690</v>
      </c>
      <c r="E161" s="20">
        <v>45812</v>
      </c>
      <c r="F161" s="32">
        <v>2100</v>
      </c>
      <c r="G161" s="20">
        <v>45812</v>
      </c>
      <c r="H161" s="44">
        <v>6</v>
      </c>
      <c r="I161" s="44">
        <v>90</v>
      </c>
      <c r="J161" s="6" t="s">
        <v>405</v>
      </c>
      <c r="K161" s="6" t="s">
        <v>253</v>
      </c>
      <c r="L161" s="56">
        <v>2020</v>
      </c>
      <c r="M161" s="12" t="str">
        <f>HYPERLINK("http://www.bolttech.io", "www.bolttech.io")</f>
        <v>www.bolttech.io</v>
      </c>
      <c r="N161" s="12" t="str">
        <f>HYPERLINK("https://my.pitchbook.com?c=463237-57", "View Company Online")</f>
        <v>View Company Online</v>
      </c>
    </row>
    <row r="162" spans="1:14" x14ac:dyDescent="0.35">
      <c r="A162" s="5" t="s">
        <v>406</v>
      </c>
      <c r="B162" s="5" t="s">
        <v>26</v>
      </c>
      <c r="C162" s="5" t="s">
        <v>27</v>
      </c>
      <c r="D162" s="31">
        <v>688</v>
      </c>
      <c r="E162" s="19">
        <v>44620</v>
      </c>
      <c r="F162" s="31">
        <v>1620</v>
      </c>
      <c r="G162" s="19">
        <v>44411</v>
      </c>
      <c r="H162" s="43" t="s">
        <v>24</v>
      </c>
      <c r="I162" s="43" t="s">
        <v>24</v>
      </c>
      <c r="J162" s="5" t="s">
        <v>407</v>
      </c>
      <c r="K162" s="5" t="s">
        <v>219</v>
      </c>
      <c r="L162" s="55">
        <v>2018</v>
      </c>
      <c r="M162" s="11" t="str">
        <f>HYPERLINK("http://www.inceptio.ai", "www.inceptio.ai")</f>
        <v>www.inceptio.ai</v>
      </c>
      <c r="N162" s="11" t="str">
        <f>HYPERLINK("https://my.pitchbook.com?c=227256-22", "View Company Online")</f>
        <v>View Company Online</v>
      </c>
    </row>
    <row r="163" spans="1:14" x14ac:dyDescent="0.35">
      <c r="A163" s="6" t="s">
        <v>408</v>
      </c>
      <c r="B163" s="6" t="s">
        <v>1192</v>
      </c>
      <c r="C163" s="6" t="s">
        <v>36</v>
      </c>
      <c r="D163" s="32">
        <v>687.43</v>
      </c>
      <c r="E163" s="20">
        <v>45901</v>
      </c>
      <c r="F163" s="32">
        <v>4486.96</v>
      </c>
      <c r="G163" s="20">
        <v>44917</v>
      </c>
      <c r="H163" s="44" t="s">
        <v>24</v>
      </c>
      <c r="I163" s="44" t="s">
        <v>24</v>
      </c>
      <c r="J163" s="6" t="s">
        <v>409</v>
      </c>
      <c r="K163" s="6" t="s">
        <v>400</v>
      </c>
      <c r="L163" s="56">
        <v>2015</v>
      </c>
      <c r="M163" s="12" t="str">
        <f>HYPERLINK("http://www.chintanneng.com", "www.chintanneng.com")</f>
        <v>www.chintanneng.com</v>
      </c>
      <c r="N163" s="12" t="str">
        <f>HYPERLINK("https://my.pitchbook.com?c=470533-96", "View Company Online")</f>
        <v>View Company Online</v>
      </c>
    </row>
    <row r="164" spans="1:14" x14ac:dyDescent="0.35">
      <c r="A164" s="5" t="s">
        <v>410</v>
      </c>
      <c r="B164" s="5" t="s">
        <v>26</v>
      </c>
      <c r="C164" s="5" t="s">
        <v>55</v>
      </c>
      <c r="D164" s="31">
        <v>683</v>
      </c>
      <c r="E164" s="19">
        <v>45833</v>
      </c>
      <c r="F164" s="31">
        <v>2150</v>
      </c>
      <c r="G164" s="19">
        <v>45833</v>
      </c>
      <c r="H164" s="43">
        <v>8</v>
      </c>
      <c r="I164" s="43">
        <v>90</v>
      </c>
      <c r="J164" s="5" t="s">
        <v>411</v>
      </c>
      <c r="K164" s="5" t="s">
        <v>412</v>
      </c>
      <c r="L164" s="55">
        <v>2015</v>
      </c>
      <c r="M164" s="11" t="str">
        <f>HYPERLINK("http://www.agilityrobotics.com", "www.agilityrobotics.com")</f>
        <v>www.agilityrobotics.com</v>
      </c>
      <c r="N164" s="11" t="str">
        <f>HYPERLINK("https://my.pitchbook.com?c=171265-96", "View Company Online")</f>
        <v>View Company Online</v>
      </c>
    </row>
    <row r="165" spans="1:14" x14ac:dyDescent="0.35">
      <c r="A165" s="6" t="s">
        <v>413</v>
      </c>
      <c r="B165" s="6" t="s">
        <v>1192</v>
      </c>
      <c r="C165" s="6" t="s">
        <v>31</v>
      </c>
      <c r="D165" s="32">
        <v>681.68</v>
      </c>
      <c r="E165" s="20">
        <v>46059</v>
      </c>
      <c r="F165" s="32">
        <v>1000</v>
      </c>
      <c r="G165" s="20">
        <v>42075</v>
      </c>
      <c r="H165" s="44">
        <v>46</v>
      </c>
      <c r="I165" s="44">
        <v>52</v>
      </c>
      <c r="J165" s="6" t="s">
        <v>414</v>
      </c>
      <c r="K165" s="6" t="s">
        <v>253</v>
      </c>
      <c r="L165" s="56">
        <v>2007</v>
      </c>
      <c r="M165" s="12" t="str">
        <f>HYPERLINK("http://www.inmobi.com", "www.inmobi.com")</f>
        <v>www.inmobi.com</v>
      </c>
      <c r="N165" s="12" t="str">
        <f>HYPERLINK("https://my.pitchbook.com?c=42183-64", "View Company Online")</f>
        <v>View Company Online</v>
      </c>
    </row>
    <row r="166" spans="1:14" x14ac:dyDescent="0.35">
      <c r="A166" s="5" t="s">
        <v>415</v>
      </c>
      <c r="B166" s="5" t="s">
        <v>39</v>
      </c>
      <c r="C166" s="5" t="s">
        <v>178</v>
      </c>
      <c r="D166" s="31">
        <v>674.8</v>
      </c>
      <c r="E166" s="19">
        <v>45994</v>
      </c>
      <c r="F166" s="31">
        <v>5800</v>
      </c>
      <c r="G166" s="19">
        <v>45994</v>
      </c>
      <c r="H166" s="43">
        <v>6</v>
      </c>
      <c r="I166" s="43">
        <v>92</v>
      </c>
      <c r="J166" s="5" t="s">
        <v>416</v>
      </c>
      <c r="K166" s="5" t="s">
        <v>197</v>
      </c>
      <c r="L166" s="55">
        <v>2016</v>
      </c>
      <c r="M166" s="11" t="str">
        <f>HYPERLINK("http://www.verkada.com", "www.verkada.com")</f>
        <v>www.verkada.com</v>
      </c>
      <c r="N166" s="11" t="str">
        <f>HYPERLINK("https://my.pitchbook.com?c=167981-95", "View Company Online")</f>
        <v>View Company Online</v>
      </c>
    </row>
    <row r="167" spans="1:14" x14ac:dyDescent="0.35">
      <c r="A167" s="6" t="s">
        <v>417</v>
      </c>
      <c r="B167" s="6" t="s">
        <v>1192</v>
      </c>
      <c r="C167" s="6" t="s">
        <v>159</v>
      </c>
      <c r="D167" s="32">
        <v>668.75</v>
      </c>
      <c r="E167" s="20">
        <v>45748</v>
      </c>
      <c r="F167" s="32">
        <v>3700</v>
      </c>
      <c r="G167" s="20">
        <v>44341</v>
      </c>
      <c r="H167" s="44">
        <v>36</v>
      </c>
      <c r="I167" s="44">
        <v>62</v>
      </c>
      <c r="J167" s="6" t="s">
        <v>418</v>
      </c>
      <c r="K167" s="6" t="s">
        <v>90</v>
      </c>
      <c r="L167" s="56">
        <v>2008</v>
      </c>
      <c r="M167" s="12" t="str">
        <f>HYPERLINK("http://www.noom.com", "www.noom.com")</f>
        <v>www.noom.com</v>
      </c>
      <c r="N167" s="12" t="str">
        <f>HYPERLINK("https://my.pitchbook.com?c=52323-40", "View Company Online")</f>
        <v>View Company Online</v>
      </c>
    </row>
    <row r="168" spans="1:14" x14ac:dyDescent="0.35">
      <c r="A168" s="5" t="s">
        <v>419</v>
      </c>
      <c r="B168" s="6" t="s">
        <v>1192</v>
      </c>
      <c r="C168" s="5" t="s">
        <v>48</v>
      </c>
      <c r="D168" s="31">
        <v>666.57</v>
      </c>
      <c r="E168" s="19">
        <v>45517</v>
      </c>
      <c r="F168" s="31">
        <v>202</v>
      </c>
      <c r="G168" s="19">
        <v>45517</v>
      </c>
      <c r="H168" s="43">
        <v>24</v>
      </c>
      <c r="I168" s="43">
        <v>72</v>
      </c>
      <c r="J168" s="5" t="s">
        <v>420</v>
      </c>
      <c r="K168" s="5" t="s">
        <v>18</v>
      </c>
      <c r="L168" s="55">
        <v>2019</v>
      </c>
      <c r="M168" s="11" t="str">
        <f>HYPERLINK("http://www.payzen.com", "www.payzen.com")</f>
        <v>www.payzen.com</v>
      </c>
      <c r="N168" s="11" t="str">
        <f>HYPERLINK("https://my.pitchbook.com?c=343433-62", "View Company Online")</f>
        <v>View Company Online</v>
      </c>
    </row>
    <row r="169" spans="1:14" x14ac:dyDescent="0.35">
      <c r="A169" s="6" t="s">
        <v>421</v>
      </c>
      <c r="B169" s="6" t="s">
        <v>1192</v>
      </c>
      <c r="C169" s="6" t="s">
        <v>159</v>
      </c>
      <c r="D169" s="32">
        <v>665.97</v>
      </c>
      <c r="E169" s="20">
        <v>45646</v>
      </c>
      <c r="F169" s="32">
        <v>620</v>
      </c>
      <c r="G169" s="20">
        <v>44628</v>
      </c>
      <c r="H169" s="44">
        <v>8</v>
      </c>
      <c r="I169" s="44">
        <v>90</v>
      </c>
      <c r="J169" s="6" t="s">
        <v>422</v>
      </c>
      <c r="K169" s="6" t="s">
        <v>18</v>
      </c>
      <c r="L169" s="56">
        <v>2009</v>
      </c>
      <c r="M169" s="12" t="str">
        <f>HYPERLINK("http://www.dnanexus.com", "www.dnanexus.com")</f>
        <v>www.dnanexus.com</v>
      </c>
      <c r="N169" s="12" t="str">
        <f>HYPERLINK("https://my.pitchbook.com?c=51541-84", "View Company Online")</f>
        <v>View Company Online</v>
      </c>
    </row>
    <row r="170" spans="1:14" x14ac:dyDescent="0.35">
      <c r="A170" s="5" t="s">
        <v>423</v>
      </c>
      <c r="B170" s="6" t="s">
        <v>1192</v>
      </c>
      <c r="C170" s="5" t="s">
        <v>44</v>
      </c>
      <c r="D170" s="31">
        <v>660.2</v>
      </c>
      <c r="E170" s="19">
        <v>46065</v>
      </c>
      <c r="F170" s="31">
        <v>3648</v>
      </c>
      <c r="G170" s="19">
        <v>44573</v>
      </c>
      <c r="H170" s="43">
        <v>64</v>
      </c>
      <c r="I170" s="43">
        <v>34</v>
      </c>
      <c r="J170" s="5" t="s">
        <v>424</v>
      </c>
      <c r="K170" s="5" t="s">
        <v>425</v>
      </c>
      <c r="L170" s="55">
        <v>2012</v>
      </c>
      <c r="M170" s="11" t="str">
        <f>HYPERLINK("http://www.highspot.com", "www.highspot.com")</f>
        <v>www.highspot.com</v>
      </c>
      <c r="N170" s="11" t="str">
        <f>HYPERLINK("https://my.pitchbook.com?c=57406-33", "View Company Online")</f>
        <v>View Company Online</v>
      </c>
    </row>
    <row r="171" spans="1:14" x14ac:dyDescent="0.35">
      <c r="A171" s="6" t="s">
        <v>426</v>
      </c>
      <c r="B171" s="6" t="s">
        <v>1192</v>
      </c>
      <c r="C171" s="6" t="s">
        <v>159</v>
      </c>
      <c r="D171" s="32">
        <v>658.3</v>
      </c>
      <c r="E171" s="20" t="s">
        <v>24</v>
      </c>
      <c r="F171" s="32">
        <v>1900</v>
      </c>
      <c r="G171" s="20">
        <v>45026</v>
      </c>
      <c r="H171" s="44">
        <v>2</v>
      </c>
      <c r="I171" s="44">
        <v>83</v>
      </c>
      <c r="J171" s="6" t="s">
        <v>427</v>
      </c>
      <c r="K171" s="6" t="s">
        <v>18</v>
      </c>
      <c r="L171" s="56">
        <v>2015</v>
      </c>
      <c r="M171" s="12" t="str">
        <f>HYPERLINK("http://www.tonal.com", "www.tonal.com")</f>
        <v>www.tonal.com</v>
      </c>
      <c r="N171" s="12" t="str">
        <f>HYPERLINK("https://my.pitchbook.com?c=125615-62", "View Company Online")</f>
        <v>View Company Online</v>
      </c>
    </row>
    <row r="172" spans="1:14" x14ac:dyDescent="0.35">
      <c r="A172" s="5" t="s">
        <v>428</v>
      </c>
      <c r="B172" s="6" t="s">
        <v>1192</v>
      </c>
      <c r="C172" s="5" t="s">
        <v>36</v>
      </c>
      <c r="D172" s="31">
        <v>655.37</v>
      </c>
      <c r="E172" s="19">
        <v>46055</v>
      </c>
      <c r="F172" s="31">
        <v>4550</v>
      </c>
      <c r="G172" s="19">
        <v>46055</v>
      </c>
      <c r="H172" s="43">
        <v>3</v>
      </c>
      <c r="I172" s="43">
        <v>94</v>
      </c>
      <c r="J172" s="5" t="s">
        <v>429</v>
      </c>
      <c r="K172" s="5" t="s">
        <v>18</v>
      </c>
      <c r="L172" s="55">
        <v>2014</v>
      </c>
      <c r="M172" s="11" t="str">
        <f>HYPERLINK("http://www.grubmarket.com", "www.grubmarket.com")</f>
        <v>www.grubmarket.com</v>
      </c>
      <c r="N172" s="11" t="str">
        <f>HYPERLINK("https://my.pitchbook.com?c=101368-90", "View Company Online")</f>
        <v>View Company Online</v>
      </c>
    </row>
    <row r="173" spans="1:14" x14ac:dyDescent="0.35">
      <c r="A173" s="6" t="s">
        <v>430</v>
      </c>
      <c r="B173" s="6" t="s">
        <v>1192</v>
      </c>
      <c r="C173" s="6" t="s">
        <v>159</v>
      </c>
      <c r="D173" s="32">
        <v>650.6</v>
      </c>
      <c r="E173" s="20">
        <v>45666</v>
      </c>
      <c r="F173" s="32">
        <v>3450</v>
      </c>
      <c r="G173" s="20">
        <v>45666</v>
      </c>
      <c r="H173" s="44">
        <v>22</v>
      </c>
      <c r="I173" s="44">
        <v>76</v>
      </c>
      <c r="J173" s="6" t="s">
        <v>431</v>
      </c>
      <c r="K173" s="6" t="s">
        <v>18</v>
      </c>
      <c r="L173" s="56">
        <v>2014</v>
      </c>
      <c r="M173" s="12" t="str">
        <f>HYPERLINK("http://www.innovaccer.com", "www.innovaccer.com")</f>
        <v>www.innovaccer.com</v>
      </c>
      <c r="N173" s="12" t="str">
        <f>HYPERLINK("https://my.pitchbook.com?c=85227-49", "View Company Online")</f>
        <v>View Company Online</v>
      </c>
    </row>
    <row r="174" spans="1:14" x14ac:dyDescent="0.35">
      <c r="A174" s="5" t="s">
        <v>432</v>
      </c>
      <c r="B174" s="6" t="s">
        <v>1192</v>
      </c>
      <c r="C174" s="5" t="s">
        <v>44</v>
      </c>
      <c r="D174" s="31">
        <v>647.51</v>
      </c>
      <c r="E174" s="19">
        <v>46009</v>
      </c>
      <c r="F174" s="31">
        <v>6941</v>
      </c>
      <c r="G174" s="19">
        <v>46009</v>
      </c>
      <c r="H174" s="43">
        <v>12</v>
      </c>
      <c r="I174" s="43">
        <v>79</v>
      </c>
      <c r="J174" s="5" t="s">
        <v>433</v>
      </c>
      <c r="K174" s="5" t="s">
        <v>331</v>
      </c>
      <c r="L174" s="55" t="s">
        <v>24</v>
      </c>
      <c r="M174" s="11" t="str">
        <f>HYPERLINK("http://www.lovable.dev", "www.lovable.dev")</f>
        <v>www.lovable.dev</v>
      </c>
      <c r="N174" s="11" t="str">
        <f>HYPERLINK("https://my.pitchbook.com?c=600908-32", "View Company Online")</f>
        <v>View Company Online</v>
      </c>
    </row>
    <row r="175" spans="1:14" x14ac:dyDescent="0.35">
      <c r="A175" s="6" t="s">
        <v>434</v>
      </c>
      <c r="B175" s="6" t="s">
        <v>1192</v>
      </c>
      <c r="C175" s="6" t="s">
        <v>159</v>
      </c>
      <c r="D175" s="32">
        <v>643.21</v>
      </c>
      <c r="E175" s="20">
        <v>44293</v>
      </c>
      <c r="F175" s="32">
        <v>2500</v>
      </c>
      <c r="G175" s="20">
        <v>44293</v>
      </c>
      <c r="H175" s="44">
        <v>17</v>
      </c>
      <c r="I175" s="44">
        <v>76</v>
      </c>
      <c r="J175" s="6" t="s">
        <v>435</v>
      </c>
      <c r="K175" s="6" t="s">
        <v>50</v>
      </c>
      <c r="L175" s="56">
        <v>2018</v>
      </c>
      <c r="M175" s="12" t="str">
        <f>HYPERLINK("http://www.insitro.com", "www.insitro.com")</f>
        <v>www.insitro.com</v>
      </c>
      <c r="N175" s="12" t="str">
        <f>HYPERLINK("https://my.pitchbook.com?c=228303-64", "View Company Online")</f>
        <v>View Company Online</v>
      </c>
    </row>
    <row r="176" spans="1:14" x14ac:dyDescent="0.35">
      <c r="A176" s="5" t="s">
        <v>436</v>
      </c>
      <c r="B176" s="6" t="s">
        <v>1192</v>
      </c>
      <c r="C176" s="5" t="s">
        <v>36</v>
      </c>
      <c r="D176" s="31">
        <v>642.95000000000005</v>
      </c>
      <c r="E176" s="19">
        <v>44805</v>
      </c>
      <c r="F176" s="31">
        <v>2175</v>
      </c>
      <c r="G176" s="19">
        <v>44768</v>
      </c>
      <c r="H176" s="43">
        <v>4</v>
      </c>
      <c r="I176" s="43">
        <v>85</v>
      </c>
      <c r="J176" s="5" t="s">
        <v>437</v>
      </c>
      <c r="K176" s="5" t="s">
        <v>438</v>
      </c>
      <c r="L176" s="55">
        <v>2016</v>
      </c>
      <c r="M176" s="11" t="str">
        <f>HYPERLINK("http://www.solugen.com", "www.solugen.com")</f>
        <v>www.solugen.com</v>
      </c>
      <c r="N176" s="11" t="str">
        <f>HYPERLINK("https://my.pitchbook.com?c=168668-92", "View Company Online")</f>
        <v>View Company Online</v>
      </c>
    </row>
    <row r="177" spans="1:14" x14ac:dyDescent="0.35">
      <c r="A177" s="6" t="s">
        <v>439</v>
      </c>
      <c r="B177" s="6" t="s">
        <v>1192</v>
      </c>
      <c r="C177" s="6" t="s">
        <v>48</v>
      </c>
      <c r="D177" s="32">
        <v>641.02</v>
      </c>
      <c r="E177" s="20">
        <v>44944</v>
      </c>
      <c r="F177" s="32">
        <v>367.53</v>
      </c>
      <c r="G177" s="20">
        <v>44565</v>
      </c>
      <c r="H177" s="44">
        <v>79</v>
      </c>
      <c r="I177" s="44">
        <v>2</v>
      </c>
      <c r="J177" s="6" t="s">
        <v>440</v>
      </c>
      <c r="K177" s="6" t="s">
        <v>331</v>
      </c>
      <c r="L177" s="56">
        <v>2016</v>
      </c>
      <c r="M177" s="12" t="str">
        <f>HYPERLINK("http://www.anyfin.com", "www.anyfin.com")</f>
        <v>www.anyfin.com</v>
      </c>
      <c r="N177" s="12" t="str">
        <f>HYPERLINK("https://my.pitchbook.com?c=226046-17", "View Company Online")</f>
        <v>View Company Online</v>
      </c>
    </row>
    <row r="178" spans="1:14" x14ac:dyDescent="0.35">
      <c r="A178" s="5" t="s">
        <v>441</v>
      </c>
      <c r="B178" s="6" t="s">
        <v>1192</v>
      </c>
      <c r="C178" s="5" t="s">
        <v>36</v>
      </c>
      <c r="D178" s="31">
        <v>640.74</v>
      </c>
      <c r="E178" s="19">
        <v>45924</v>
      </c>
      <c r="F178" s="31" t="s">
        <v>24</v>
      </c>
      <c r="G178" s="19" t="s">
        <v>24</v>
      </c>
      <c r="H178" s="43" t="s">
        <v>24</v>
      </c>
      <c r="I178" s="43" t="s">
        <v>24</v>
      </c>
      <c r="J178" s="5" t="s">
        <v>442</v>
      </c>
      <c r="K178" s="5" t="s">
        <v>219</v>
      </c>
      <c r="L178" s="55">
        <v>2020</v>
      </c>
      <c r="M178" s="11" t="str">
        <f>HYPERLINK("http://www.univista-isg.com", "www.univista-isg.com")</f>
        <v>www.univista-isg.com</v>
      </c>
      <c r="N178" s="11" t="str">
        <f>HYPERLINK("https://my.pitchbook.com?c=471973-15", "View Company Online")</f>
        <v>View Company Online</v>
      </c>
    </row>
    <row r="179" spans="1:14" x14ac:dyDescent="0.35">
      <c r="A179" s="6" t="s">
        <v>443</v>
      </c>
      <c r="B179" s="6" t="s">
        <v>1192</v>
      </c>
      <c r="C179" s="6" t="s">
        <v>74</v>
      </c>
      <c r="D179" s="32">
        <v>640.67999999999995</v>
      </c>
      <c r="E179" s="20">
        <v>44287</v>
      </c>
      <c r="F179" s="32" t="s">
        <v>24</v>
      </c>
      <c r="G179" s="20" t="s">
        <v>24</v>
      </c>
      <c r="H179" s="44">
        <v>9</v>
      </c>
      <c r="I179" s="44">
        <v>1</v>
      </c>
      <c r="J179" s="6" t="s">
        <v>444</v>
      </c>
      <c r="K179" s="6" t="s">
        <v>445</v>
      </c>
      <c r="L179" s="56" t="s">
        <v>24</v>
      </c>
      <c r="M179" s="12" t="str">
        <f>HYPERLINK("http://www.dtchgmbh.com", "www.dtchgmbh.com")</f>
        <v>www.dtchgmbh.com</v>
      </c>
      <c r="N179" s="12" t="str">
        <f>HYPERLINK("https://my.pitchbook.com?c=674248-06", "View Company Online")</f>
        <v>View Company Online</v>
      </c>
    </row>
    <row r="180" spans="1:14" x14ac:dyDescent="0.35">
      <c r="A180" s="5" t="s">
        <v>446</v>
      </c>
      <c r="B180" s="5" t="s">
        <v>15</v>
      </c>
      <c r="C180" s="5" t="s">
        <v>22</v>
      </c>
      <c r="D180" s="31">
        <v>640.03</v>
      </c>
      <c r="E180" s="19">
        <v>44509</v>
      </c>
      <c r="F180" s="31">
        <v>5250</v>
      </c>
      <c r="G180" s="19">
        <v>44509</v>
      </c>
      <c r="H180" s="43">
        <v>14</v>
      </c>
      <c r="I180" s="43">
        <v>81</v>
      </c>
      <c r="J180" s="5" t="s">
        <v>447</v>
      </c>
      <c r="K180" s="5" t="s">
        <v>448</v>
      </c>
      <c r="L180" s="55">
        <v>2008</v>
      </c>
      <c r="M180" s="11" t="str">
        <f>HYPERLINK("http://www.collibra.com", "www.collibra.com")</f>
        <v>www.collibra.com</v>
      </c>
      <c r="N180" s="11" t="str">
        <f>HYPERLINK("https://my.pitchbook.com?c=56075-50", "View Company Online")</f>
        <v>View Company Online</v>
      </c>
    </row>
    <row r="181" spans="1:14" x14ac:dyDescent="0.35">
      <c r="A181" s="6" t="s">
        <v>449</v>
      </c>
      <c r="B181" s="6" t="s">
        <v>1192</v>
      </c>
      <c r="C181" s="6" t="s">
        <v>48</v>
      </c>
      <c r="D181" s="32">
        <v>637.15</v>
      </c>
      <c r="E181" s="20" t="s">
        <v>24</v>
      </c>
      <c r="F181" s="32">
        <v>1800</v>
      </c>
      <c r="G181" s="20">
        <v>44629</v>
      </c>
      <c r="H181" s="44">
        <v>13</v>
      </c>
      <c r="I181" s="44">
        <v>74</v>
      </c>
      <c r="J181" s="6" t="s">
        <v>450</v>
      </c>
      <c r="K181" s="6" t="s">
        <v>451</v>
      </c>
      <c r="L181" s="56">
        <v>2012</v>
      </c>
      <c r="M181" s="12" t="str">
        <f>HYPERLINK("http://www.acorns.com", "www.acorns.com")</f>
        <v>www.acorns.com</v>
      </c>
      <c r="N181" s="12" t="str">
        <f>HYPERLINK("https://my.pitchbook.com?c=61927-03", "View Company Online")</f>
        <v>View Company Online</v>
      </c>
    </row>
    <row r="182" spans="1:14" x14ac:dyDescent="0.35">
      <c r="A182" s="5" t="s">
        <v>452</v>
      </c>
      <c r="B182" s="5" t="s">
        <v>15</v>
      </c>
      <c r="C182" s="5" t="s">
        <v>16</v>
      </c>
      <c r="D182" s="31">
        <v>636.85</v>
      </c>
      <c r="E182" s="19">
        <v>46021</v>
      </c>
      <c r="F182" s="31">
        <v>1400</v>
      </c>
      <c r="G182" s="19">
        <v>45788</v>
      </c>
      <c r="H182" s="43">
        <v>15</v>
      </c>
      <c r="I182" s="43">
        <v>81</v>
      </c>
      <c r="J182" s="5" t="s">
        <v>453</v>
      </c>
      <c r="K182" s="5" t="s">
        <v>454</v>
      </c>
      <c r="L182" s="55">
        <v>2017</v>
      </c>
      <c r="M182" s="11" t="str">
        <f>HYPERLINK("http://www.ai21.com", "www.ai21.com")</f>
        <v>www.ai21.com</v>
      </c>
      <c r="N182" s="11" t="str">
        <f>HYPERLINK("https://my.pitchbook.com?c=339869-26", "View Company Online")</f>
        <v>View Company Online</v>
      </c>
    </row>
    <row r="183" spans="1:14" x14ac:dyDescent="0.35">
      <c r="A183" s="6" t="s">
        <v>455</v>
      </c>
      <c r="B183" s="6" t="s">
        <v>15</v>
      </c>
      <c r="C183" s="6" t="s">
        <v>156</v>
      </c>
      <c r="D183" s="32">
        <v>635</v>
      </c>
      <c r="E183" s="20">
        <v>45904</v>
      </c>
      <c r="F183" s="32">
        <v>10000</v>
      </c>
      <c r="G183" s="20">
        <v>45904</v>
      </c>
      <c r="H183" s="44">
        <v>18</v>
      </c>
      <c r="I183" s="44">
        <v>80</v>
      </c>
      <c r="J183" s="6" t="s">
        <v>456</v>
      </c>
      <c r="K183" s="6" t="s">
        <v>18</v>
      </c>
      <c r="L183" s="56">
        <v>2023</v>
      </c>
      <c r="M183" s="12" t="str">
        <f>HYPERLINK("http://www.sierra.ai", "www.sierra.ai")</f>
        <v>www.sierra.ai</v>
      </c>
      <c r="N183" s="12" t="str">
        <f>HYPERLINK("https://my.pitchbook.com?c=562083-22", "View Company Online")</f>
        <v>View Company Online</v>
      </c>
    </row>
    <row r="184" spans="1:14" x14ac:dyDescent="0.35">
      <c r="A184" s="5" t="s">
        <v>457</v>
      </c>
      <c r="B184" s="5" t="s">
        <v>15</v>
      </c>
      <c r="C184" s="5" t="s">
        <v>22</v>
      </c>
      <c r="D184" s="31">
        <v>632</v>
      </c>
      <c r="E184" s="19">
        <v>45686</v>
      </c>
      <c r="F184" s="31">
        <v>1600</v>
      </c>
      <c r="G184" s="19">
        <v>45686</v>
      </c>
      <c r="H184" s="43">
        <v>45</v>
      </c>
      <c r="I184" s="43">
        <v>53</v>
      </c>
      <c r="J184" s="5" t="s">
        <v>458</v>
      </c>
      <c r="K184" s="5" t="s">
        <v>18</v>
      </c>
      <c r="L184" s="55">
        <v>2014</v>
      </c>
      <c r="M184" s="11" t="str">
        <f>HYPERLINK("http://www.sigmacomputing.com", "www.sigmacomputing.com")</f>
        <v>www.sigmacomputing.com</v>
      </c>
      <c r="N184" s="11" t="str">
        <f>HYPERLINK("https://my.pitchbook.com?c=62621-92", "View Company Online")</f>
        <v>View Company Online</v>
      </c>
    </row>
    <row r="185" spans="1:14" x14ac:dyDescent="0.35">
      <c r="A185" s="6" t="s">
        <v>459</v>
      </c>
      <c r="B185" s="6" t="s">
        <v>26</v>
      </c>
      <c r="C185" s="6" t="s">
        <v>55</v>
      </c>
      <c r="D185" s="32">
        <v>631.5</v>
      </c>
      <c r="E185" s="20">
        <v>45783</v>
      </c>
      <c r="F185" s="32">
        <v>1315.49</v>
      </c>
      <c r="G185" s="20">
        <v>45783</v>
      </c>
      <c r="H185" s="44">
        <v>47</v>
      </c>
      <c r="I185" s="44">
        <v>51</v>
      </c>
      <c r="J185" s="6" t="s">
        <v>460</v>
      </c>
      <c r="K185" s="6" t="s">
        <v>461</v>
      </c>
      <c r="L185" s="56">
        <v>2001</v>
      </c>
      <c r="M185" s="12" t="str">
        <f>HYPERLINK("http://www.tekever.com", "www.tekever.com")</f>
        <v>www.tekever.com</v>
      </c>
      <c r="N185" s="12" t="str">
        <f>HYPERLINK("https://my.pitchbook.com?c=95136-67", "View Company Online")</f>
        <v>View Company Online</v>
      </c>
    </row>
    <row r="186" spans="1:14" x14ac:dyDescent="0.35">
      <c r="A186" s="5" t="s">
        <v>462</v>
      </c>
      <c r="B186" s="5" t="s">
        <v>15</v>
      </c>
      <c r="C186" s="5" t="s">
        <v>156</v>
      </c>
      <c r="D186" s="31">
        <v>623.12</v>
      </c>
      <c r="E186" s="19" t="s">
        <v>24</v>
      </c>
      <c r="F186" s="31">
        <v>14000</v>
      </c>
      <c r="G186" s="19" t="s">
        <v>24</v>
      </c>
      <c r="H186" s="43">
        <v>9</v>
      </c>
      <c r="I186" s="43">
        <v>75</v>
      </c>
      <c r="J186" s="5" t="s">
        <v>463</v>
      </c>
      <c r="K186" s="5" t="s">
        <v>18</v>
      </c>
      <c r="L186" s="55">
        <v>2023</v>
      </c>
      <c r="M186" s="11" t="str">
        <f>HYPERLINK("http://www.poolside.ai", "www.poolside.ai")</f>
        <v>www.poolside.ai</v>
      </c>
      <c r="N186" s="11" t="str">
        <f>HYPERLINK("https://my.pitchbook.com?c=528350-68", "View Company Online")</f>
        <v>View Company Online</v>
      </c>
    </row>
    <row r="187" spans="1:14" x14ac:dyDescent="0.35">
      <c r="A187" s="6" t="s">
        <v>464</v>
      </c>
      <c r="B187" s="6" t="s">
        <v>1192</v>
      </c>
      <c r="C187" s="6" t="s">
        <v>48</v>
      </c>
      <c r="D187" s="32">
        <v>620.79</v>
      </c>
      <c r="E187" s="20">
        <v>46002</v>
      </c>
      <c r="F187" s="32">
        <v>1275.8699999999999</v>
      </c>
      <c r="G187" s="20">
        <v>46002</v>
      </c>
      <c r="H187" s="44">
        <v>12</v>
      </c>
      <c r="I187" s="44">
        <v>85</v>
      </c>
      <c r="J187" s="6" t="s">
        <v>465</v>
      </c>
      <c r="K187" s="6" t="s">
        <v>68</v>
      </c>
      <c r="L187" s="56">
        <v>2011</v>
      </c>
      <c r="M187" s="12" t="str">
        <f>HYPERLINK("http://www.gocardless.com", "www.gocardless.com")</f>
        <v>www.gocardless.com</v>
      </c>
      <c r="N187" s="12" t="str">
        <f>HYPERLINK("https://my.pitchbook.com?c=53800-03", "View Company Online")</f>
        <v>View Company Online</v>
      </c>
    </row>
    <row r="188" spans="1:14" x14ac:dyDescent="0.35">
      <c r="A188" s="5" t="s">
        <v>466</v>
      </c>
      <c r="B188" s="6" t="s">
        <v>1192</v>
      </c>
      <c r="C188" s="5" t="s">
        <v>48</v>
      </c>
      <c r="D188" s="31">
        <v>620</v>
      </c>
      <c r="E188" s="19">
        <v>45587</v>
      </c>
      <c r="F188" s="31">
        <v>2000</v>
      </c>
      <c r="G188" s="19">
        <v>44461</v>
      </c>
      <c r="H188" s="43">
        <v>20</v>
      </c>
      <c r="I188" s="43">
        <v>67</v>
      </c>
      <c r="J188" s="5" t="s">
        <v>467</v>
      </c>
      <c r="K188" s="5" t="s">
        <v>253</v>
      </c>
      <c r="L188" s="55">
        <v>2015</v>
      </c>
      <c r="M188" s="11" t="str">
        <f>HYPERLINK("http://www.advance.ai", "www.advance.ai")</f>
        <v>www.advance.ai</v>
      </c>
      <c r="N188" s="11" t="str">
        <f>HYPERLINK("https://my.pitchbook.com?c=231153-31", "View Company Online")</f>
        <v>View Company Online</v>
      </c>
    </row>
    <row r="189" spans="1:14" x14ac:dyDescent="0.35">
      <c r="A189" s="6" t="s">
        <v>468</v>
      </c>
      <c r="B189" s="6" t="s">
        <v>15</v>
      </c>
      <c r="C189" s="6" t="s">
        <v>16</v>
      </c>
      <c r="D189" s="32">
        <v>619.9</v>
      </c>
      <c r="E189" s="20">
        <v>46077</v>
      </c>
      <c r="F189" s="32">
        <v>361.99</v>
      </c>
      <c r="G189" s="20">
        <v>45618</v>
      </c>
      <c r="H189" s="44">
        <v>81</v>
      </c>
      <c r="I189" s="44">
        <v>17</v>
      </c>
      <c r="J189" s="6" t="s">
        <v>469</v>
      </c>
      <c r="K189" s="6" t="s">
        <v>29</v>
      </c>
      <c r="L189" s="56">
        <v>2023</v>
      </c>
      <c r="M189" s="12" t="str">
        <f>HYPERLINK("http://www.matx.com", "www.matx.com")</f>
        <v>www.matx.com</v>
      </c>
      <c r="N189" s="12" t="str">
        <f>HYPERLINK("https://my.pitchbook.com?c=535614-49", "View Company Online")</f>
        <v>View Company Online</v>
      </c>
    </row>
    <row r="190" spans="1:14" x14ac:dyDescent="0.35">
      <c r="A190" s="5" t="s">
        <v>470</v>
      </c>
      <c r="B190" s="6" t="s">
        <v>1192</v>
      </c>
      <c r="C190" s="5" t="s">
        <v>159</v>
      </c>
      <c r="D190" s="31">
        <v>618.82000000000005</v>
      </c>
      <c r="E190" s="19">
        <v>45469</v>
      </c>
      <c r="F190" s="31">
        <v>1700</v>
      </c>
      <c r="G190" s="19">
        <v>45469</v>
      </c>
      <c r="H190" s="43">
        <v>22</v>
      </c>
      <c r="I190" s="43">
        <v>76</v>
      </c>
      <c r="J190" s="5" t="s">
        <v>471</v>
      </c>
      <c r="K190" s="5" t="s">
        <v>90</v>
      </c>
      <c r="L190" s="55">
        <v>2013</v>
      </c>
      <c r="M190" s="11" t="str">
        <f>HYPERLINK("http://www.formation.bio", "www.formation.bio")</f>
        <v>www.formation.bio</v>
      </c>
      <c r="N190" s="11" t="str">
        <f>HYPERLINK("https://my.pitchbook.com?c=154420-48", "View Company Online")</f>
        <v>View Company Online</v>
      </c>
    </row>
    <row r="191" spans="1:14" x14ac:dyDescent="0.35">
      <c r="A191" s="6" t="s">
        <v>472</v>
      </c>
      <c r="B191" s="6" t="s">
        <v>1192</v>
      </c>
      <c r="C191" s="6" t="s">
        <v>44</v>
      </c>
      <c r="D191" s="32">
        <v>615.71</v>
      </c>
      <c r="E191" s="20" t="s">
        <v>24</v>
      </c>
      <c r="F191" s="32">
        <v>1750.73</v>
      </c>
      <c r="G191" s="20">
        <v>43891</v>
      </c>
      <c r="H191" s="44">
        <v>20</v>
      </c>
      <c r="I191" s="44">
        <v>72</v>
      </c>
      <c r="J191" s="6" t="s">
        <v>473</v>
      </c>
      <c r="K191" s="6" t="s">
        <v>122</v>
      </c>
      <c r="L191" s="56">
        <v>2007</v>
      </c>
      <c r="M191" s="12" t="str">
        <f>HYPERLINK("http://www.lookout.com", "www.lookout.com")</f>
        <v>www.lookout.com</v>
      </c>
      <c r="N191" s="12" t="str">
        <f>HYPERLINK("https://my.pitchbook.com?c=51420-07", "View Company Online")</f>
        <v>View Company Online</v>
      </c>
    </row>
    <row r="192" spans="1:14" x14ac:dyDescent="0.35">
      <c r="A192" s="5" t="s">
        <v>474</v>
      </c>
      <c r="B192" s="6" t="s">
        <v>1192</v>
      </c>
      <c r="C192" s="5" t="s">
        <v>31</v>
      </c>
      <c r="D192" s="31">
        <v>611.86</v>
      </c>
      <c r="E192" s="19">
        <v>45930</v>
      </c>
      <c r="F192" s="31">
        <v>42000</v>
      </c>
      <c r="G192" s="19">
        <v>45930</v>
      </c>
      <c r="H192" s="43">
        <v>1</v>
      </c>
      <c r="I192" s="43">
        <v>97</v>
      </c>
      <c r="J192" s="5" t="s">
        <v>475</v>
      </c>
      <c r="K192" s="5" t="s">
        <v>476</v>
      </c>
      <c r="L192" s="55">
        <v>2012</v>
      </c>
      <c r="M192" s="11" t="str">
        <f>HYPERLINK("http://www.canva.com", "www.canva.com")</f>
        <v>www.canva.com</v>
      </c>
      <c r="N192" s="11" t="str">
        <f>HYPERLINK("https://my.pitchbook.com?c=56364-67", "View Company Online")</f>
        <v>View Company Online</v>
      </c>
    </row>
    <row r="193" spans="1:14" x14ac:dyDescent="0.35">
      <c r="A193" s="6" t="s">
        <v>477</v>
      </c>
      <c r="B193" s="6" t="s">
        <v>26</v>
      </c>
      <c r="C193" s="6" t="s">
        <v>55</v>
      </c>
      <c r="D193" s="32">
        <v>610.21</v>
      </c>
      <c r="E193" s="20">
        <v>45104</v>
      </c>
      <c r="F193" s="32">
        <v>2802.27</v>
      </c>
      <c r="G193" s="20">
        <v>45104</v>
      </c>
      <c r="H193" s="44" t="s">
        <v>24</v>
      </c>
      <c r="I193" s="44" t="s">
        <v>24</v>
      </c>
      <c r="J193" s="6" t="s">
        <v>478</v>
      </c>
      <c r="K193" s="6" t="s">
        <v>219</v>
      </c>
      <c r="L193" s="56">
        <v>2015</v>
      </c>
      <c r="M193" s="12" t="str">
        <f>HYPERLINK("http://www.cloudminds.com", "www.cloudminds.com")</f>
        <v>www.cloudminds.com</v>
      </c>
      <c r="N193" s="12" t="str">
        <f>HYPERLINK("https://my.pitchbook.com?c=159299-11", "View Company Online")</f>
        <v>View Company Online</v>
      </c>
    </row>
    <row r="194" spans="1:14" x14ac:dyDescent="0.35">
      <c r="A194" s="5" t="s">
        <v>479</v>
      </c>
      <c r="B194" s="5" t="s">
        <v>39</v>
      </c>
      <c r="C194" s="5" t="s">
        <v>70</v>
      </c>
      <c r="D194" s="31">
        <v>610</v>
      </c>
      <c r="E194" s="19">
        <v>46091</v>
      </c>
      <c r="F194" s="31">
        <v>4200</v>
      </c>
      <c r="G194" s="19">
        <v>46091</v>
      </c>
      <c r="H194" s="43">
        <v>52</v>
      </c>
      <c r="I194" s="43">
        <v>46</v>
      </c>
      <c r="J194" s="5" t="s">
        <v>480</v>
      </c>
      <c r="K194" s="5" t="s">
        <v>62</v>
      </c>
      <c r="L194" s="55">
        <v>2024</v>
      </c>
      <c r="M194" s="11" t="str">
        <f>HYPERLINK("http://www.nexthop.ai", "www.nexthop.ai")</f>
        <v>www.nexthop.ai</v>
      </c>
      <c r="N194" s="11" t="str">
        <f>HYPERLINK("https://my.pitchbook.com?c=769549-33", "View Company Online")</f>
        <v>View Company Online</v>
      </c>
    </row>
    <row r="195" spans="1:14" x14ac:dyDescent="0.35">
      <c r="A195" s="6" t="s">
        <v>481</v>
      </c>
      <c r="B195" s="6" t="s">
        <v>1192</v>
      </c>
      <c r="C195" s="6" t="s">
        <v>48</v>
      </c>
      <c r="D195" s="32">
        <v>609.1</v>
      </c>
      <c r="E195" s="20">
        <v>45769</v>
      </c>
      <c r="F195" s="32">
        <v>1900</v>
      </c>
      <c r="G195" s="20">
        <v>45769</v>
      </c>
      <c r="H195" s="44">
        <v>8</v>
      </c>
      <c r="I195" s="44">
        <v>89</v>
      </c>
      <c r="J195" s="6" t="s">
        <v>482</v>
      </c>
      <c r="K195" s="6" t="s">
        <v>483</v>
      </c>
      <c r="L195" s="56">
        <v>2018</v>
      </c>
      <c r="M195" s="12" t="str">
        <f>HYPERLINK("http://www.altruist.com", "www.altruist.com")</f>
        <v>www.altruist.com</v>
      </c>
      <c r="N195" s="12" t="str">
        <f>HYPERLINK("https://my.pitchbook.com?c=265626-01", "View Company Online")</f>
        <v>View Company Online</v>
      </c>
    </row>
    <row r="196" spans="1:14" x14ac:dyDescent="0.35">
      <c r="A196" s="5" t="s">
        <v>484</v>
      </c>
      <c r="B196" s="5" t="s">
        <v>15</v>
      </c>
      <c r="C196" s="5" t="s">
        <v>22</v>
      </c>
      <c r="D196" s="31">
        <v>606.5</v>
      </c>
      <c r="E196" s="19">
        <v>46064</v>
      </c>
      <c r="F196" s="31">
        <v>2980</v>
      </c>
      <c r="G196" s="19">
        <v>44266</v>
      </c>
      <c r="H196" s="43">
        <v>84</v>
      </c>
      <c r="I196" s="43">
        <v>12</v>
      </c>
      <c r="J196" s="5" t="s">
        <v>485</v>
      </c>
      <c r="K196" s="5" t="s">
        <v>486</v>
      </c>
      <c r="L196" s="55">
        <v>2009</v>
      </c>
      <c r="M196" s="11" t="str">
        <f>HYPERLINK("http://www.icertis.com", "www.icertis.com")</f>
        <v>www.icertis.com</v>
      </c>
      <c r="N196" s="11" t="str">
        <f>HYPERLINK("https://my.pitchbook.com?c=58368-97", "View Company Online")</f>
        <v>View Company Online</v>
      </c>
    </row>
    <row r="197" spans="1:14" x14ac:dyDescent="0.35">
      <c r="A197" s="6" t="s">
        <v>487</v>
      </c>
      <c r="B197" s="6" t="s">
        <v>1192</v>
      </c>
      <c r="C197" s="6" t="s">
        <v>159</v>
      </c>
      <c r="D197" s="32">
        <v>600</v>
      </c>
      <c r="E197" s="20">
        <v>44027</v>
      </c>
      <c r="F197" s="32">
        <v>8100.45</v>
      </c>
      <c r="G197" s="20">
        <v>44027</v>
      </c>
      <c r="H197" s="44" t="s">
        <v>24</v>
      </c>
      <c r="I197" s="44" t="s">
        <v>24</v>
      </c>
      <c r="J197" s="6" t="s">
        <v>488</v>
      </c>
      <c r="K197" s="6" t="s">
        <v>244</v>
      </c>
      <c r="L197" s="56" t="s">
        <v>24</v>
      </c>
      <c r="M197" s="6" t="s">
        <v>24</v>
      </c>
      <c r="N197" s="12" t="str">
        <f>HYPERLINK("https://my.pitchbook.com?c=467082-55", "View Company Online")</f>
        <v>View Company Online</v>
      </c>
    </row>
    <row r="198" spans="1:14" x14ac:dyDescent="0.35">
      <c r="A198" s="5" t="s">
        <v>489</v>
      </c>
      <c r="B198" s="6" t="s">
        <v>1192</v>
      </c>
      <c r="C198" s="5" t="s">
        <v>159</v>
      </c>
      <c r="D198" s="31">
        <v>600</v>
      </c>
      <c r="E198" s="19">
        <v>44712</v>
      </c>
      <c r="F198" s="31">
        <v>3629.25</v>
      </c>
      <c r="G198" s="19">
        <v>44712</v>
      </c>
      <c r="H198" s="43">
        <v>1</v>
      </c>
      <c r="I198" s="43">
        <v>96</v>
      </c>
      <c r="J198" s="5" t="s">
        <v>490</v>
      </c>
      <c r="K198" s="5" t="s">
        <v>180</v>
      </c>
      <c r="L198" s="55">
        <v>2016</v>
      </c>
      <c r="M198" s="11" t="str">
        <f>HYPERLINK("http://www.ultimagenomics.com", "www.ultimagenomics.com")</f>
        <v>www.ultimagenomics.com</v>
      </c>
      <c r="N198" s="11" t="str">
        <f>HYPERLINK("https://my.pitchbook.com?c=265435-66", "View Company Online")</f>
        <v>View Company Online</v>
      </c>
    </row>
    <row r="199" spans="1:14" x14ac:dyDescent="0.35">
      <c r="A199" s="6" t="s">
        <v>491</v>
      </c>
      <c r="B199" s="6" t="s">
        <v>1192</v>
      </c>
      <c r="C199" s="6" t="s">
        <v>48</v>
      </c>
      <c r="D199" s="32">
        <v>595</v>
      </c>
      <c r="E199" s="20">
        <v>45545</v>
      </c>
      <c r="F199" s="32">
        <v>150</v>
      </c>
      <c r="G199" s="20">
        <v>44517</v>
      </c>
      <c r="H199" s="44">
        <v>83</v>
      </c>
      <c r="I199" s="44">
        <v>8</v>
      </c>
      <c r="J199" s="6" t="s">
        <v>492</v>
      </c>
      <c r="K199" s="6" t="s">
        <v>493</v>
      </c>
      <c r="L199" s="56">
        <v>2017</v>
      </c>
      <c r="M199" s="12" t="str">
        <f>HYPERLINK("http://agoradata.com", "agoradata.com")</f>
        <v>agoradata.com</v>
      </c>
      <c r="N199" s="12" t="str">
        <f>HYPERLINK("https://my.pitchbook.com?c=451024-57", "View Company Online")</f>
        <v>View Company Online</v>
      </c>
    </row>
    <row r="200" spans="1:14" x14ac:dyDescent="0.35">
      <c r="A200" s="5" t="s">
        <v>494</v>
      </c>
      <c r="B200" s="6" t="s">
        <v>1192</v>
      </c>
      <c r="C200" s="5" t="s">
        <v>159</v>
      </c>
      <c r="D200" s="31">
        <v>595</v>
      </c>
      <c r="E200" s="19">
        <v>44862</v>
      </c>
      <c r="F200" s="31">
        <v>1350</v>
      </c>
      <c r="G200" s="19">
        <v>44862</v>
      </c>
      <c r="H200" s="43">
        <v>8</v>
      </c>
      <c r="I200" s="43">
        <v>90</v>
      </c>
      <c r="J200" s="5" t="s">
        <v>495</v>
      </c>
      <c r="K200" s="5" t="s">
        <v>496</v>
      </c>
      <c r="L200" s="55">
        <v>2019</v>
      </c>
      <c r="M200" s="11" t="str">
        <f>HYPERLINK("http://www.valohealth.com", "www.valohealth.com")</f>
        <v>www.valohealth.com</v>
      </c>
      <c r="N200" s="11" t="str">
        <f>HYPERLINK("https://my.pitchbook.com?c=314489-53", "View Company Online")</f>
        <v>View Company Online</v>
      </c>
    </row>
    <row r="201" spans="1:14" x14ac:dyDescent="0.35">
      <c r="A201" s="6" t="s">
        <v>497</v>
      </c>
      <c r="B201" s="6" t="s">
        <v>26</v>
      </c>
      <c r="C201" s="6" t="s">
        <v>55</v>
      </c>
      <c r="D201" s="32">
        <v>589.48</v>
      </c>
      <c r="E201" s="20">
        <v>45244</v>
      </c>
      <c r="F201" s="32">
        <v>700</v>
      </c>
      <c r="G201" s="20">
        <v>44084</v>
      </c>
      <c r="H201" s="44">
        <v>35</v>
      </c>
      <c r="I201" s="44">
        <v>53</v>
      </c>
      <c r="J201" s="6" t="s">
        <v>498</v>
      </c>
      <c r="K201" s="6" t="s">
        <v>499</v>
      </c>
      <c r="L201" s="56">
        <v>2012</v>
      </c>
      <c r="M201" s="12" t="str">
        <f>HYPERLINK("http://www.greyorange.com", "www.greyorange.com")</f>
        <v>www.greyorange.com</v>
      </c>
      <c r="N201" s="12" t="str">
        <f>HYPERLINK("https://my.pitchbook.com?c=62720-65", "View Company Online")</f>
        <v>View Company Online</v>
      </c>
    </row>
    <row r="202" spans="1:14" x14ac:dyDescent="0.35">
      <c r="A202" s="5" t="s">
        <v>500</v>
      </c>
      <c r="B202" s="5" t="s">
        <v>15</v>
      </c>
      <c r="C202" s="5" t="s">
        <v>501</v>
      </c>
      <c r="D202" s="31">
        <v>588.27</v>
      </c>
      <c r="E202" s="19">
        <v>45854</v>
      </c>
      <c r="F202" s="31">
        <v>3095.73</v>
      </c>
      <c r="G202" s="19">
        <v>44643</v>
      </c>
      <c r="H202" s="43">
        <v>34</v>
      </c>
      <c r="I202" s="43">
        <v>62</v>
      </c>
      <c r="J202" s="5" t="s">
        <v>502</v>
      </c>
      <c r="K202" s="5" t="s">
        <v>503</v>
      </c>
      <c r="L202" s="55">
        <v>2015</v>
      </c>
      <c r="M202" s="11" t="str">
        <f>HYPERLINK("http://www.drivenets.com", "www.drivenets.com")</f>
        <v>www.drivenets.com</v>
      </c>
      <c r="N202" s="11" t="str">
        <f>HYPERLINK("https://my.pitchbook.com?c=228335-05", "View Company Online")</f>
        <v>View Company Online</v>
      </c>
    </row>
    <row r="203" spans="1:14" x14ac:dyDescent="0.35">
      <c r="A203" s="6" t="s">
        <v>504</v>
      </c>
      <c r="B203" s="6" t="s">
        <v>39</v>
      </c>
      <c r="C203" s="6" t="s">
        <v>70</v>
      </c>
      <c r="D203" s="32">
        <v>585</v>
      </c>
      <c r="E203" s="20">
        <v>46043</v>
      </c>
      <c r="F203" s="32">
        <v>5000</v>
      </c>
      <c r="G203" s="20">
        <v>46043</v>
      </c>
      <c r="H203" s="44">
        <v>9</v>
      </c>
      <c r="I203" s="44">
        <v>85</v>
      </c>
      <c r="J203" s="6" t="s">
        <v>505</v>
      </c>
      <c r="K203" s="6" t="s">
        <v>18</v>
      </c>
      <c r="L203" s="56">
        <v>2019</v>
      </c>
      <c r="M203" s="12" t="str">
        <f>HYPERLINK("http://www.baseten.co", "www.baseten.co")</f>
        <v>www.baseten.co</v>
      </c>
      <c r="N203" s="12" t="str">
        <f>HYPERLINK("https://my.pitchbook.com?c=462191-14", "View Company Online")</f>
        <v>View Company Online</v>
      </c>
    </row>
    <row r="204" spans="1:14" x14ac:dyDescent="0.35">
      <c r="A204" s="5" t="s">
        <v>506</v>
      </c>
      <c r="B204" s="6" t="s">
        <v>1192</v>
      </c>
      <c r="C204" s="5" t="s">
        <v>44</v>
      </c>
      <c r="D204" s="31">
        <v>583</v>
      </c>
      <c r="E204" s="19">
        <v>44369</v>
      </c>
      <c r="F204" s="31">
        <v>2743</v>
      </c>
      <c r="G204" s="19">
        <v>44369</v>
      </c>
      <c r="H204" s="43" t="s">
        <v>24</v>
      </c>
      <c r="I204" s="43" t="s">
        <v>24</v>
      </c>
      <c r="J204" s="5" t="s">
        <v>507</v>
      </c>
      <c r="K204" s="5" t="s">
        <v>122</v>
      </c>
      <c r="L204" s="55">
        <v>2014</v>
      </c>
      <c r="M204" s="11" t="str">
        <f>HYPERLINK("http://www.transmitsecurity.com", "www.transmitsecurity.com")</f>
        <v>www.transmitsecurity.com</v>
      </c>
      <c r="N204" s="11" t="str">
        <f>HYPERLINK("https://my.pitchbook.com?c=119051-29", "View Company Online")</f>
        <v>View Company Online</v>
      </c>
    </row>
    <row r="205" spans="1:14" x14ac:dyDescent="0.35">
      <c r="A205" s="6" t="s">
        <v>508</v>
      </c>
      <c r="B205" s="6" t="s">
        <v>1192</v>
      </c>
      <c r="C205" s="6" t="s">
        <v>44</v>
      </c>
      <c r="D205" s="32">
        <v>582.94000000000005</v>
      </c>
      <c r="E205" s="20">
        <v>45658</v>
      </c>
      <c r="F205" s="32">
        <v>7250</v>
      </c>
      <c r="G205" s="20">
        <v>44350</v>
      </c>
      <c r="H205" s="44">
        <v>64</v>
      </c>
      <c r="I205" s="44">
        <v>34</v>
      </c>
      <c r="J205" s="6" t="s">
        <v>509</v>
      </c>
      <c r="K205" s="6" t="s">
        <v>18</v>
      </c>
      <c r="L205" s="56">
        <v>2015</v>
      </c>
      <c r="M205" s="12" t="str">
        <f>HYPERLINK("http://www.gong.io", "www.gong.io")</f>
        <v>www.gong.io</v>
      </c>
      <c r="N205" s="12" t="str">
        <f>HYPERLINK("https://my.pitchbook.com?c=161539-12", "View Company Online")</f>
        <v>View Company Online</v>
      </c>
    </row>
    <row r="206" spans="1:14" x14ac:dyDescent="0.35">
      <c r="A206" s="5" t="s">
        <v>510</v>
      </c>
      <c r="B206" s="5" t="s">
        <v>15</v>
      </c>
      <c r="C206" s="5" t="s">
        <v>156</v>
      </c>
      <c r="D206" s="31">
        <v>582.77</v>
      </c>
      <c r="E206" s="19">
        <v>46094</v>
      </c>
      <c r="F206" s="31">
        <v>1000</v>
      </c>
      <c r="G206" s="19">
        <v>45250</v>
      </c>
      <c r="H206" s="43" t="s">
        <v>24</v>
      </c>
      <c r="I206" s="43" t="s">
        <v>24</v>
      </c>
      <c r="J206" s="5" t="s">
        <v>511</v>
      </c>
      <c r="K206" s="5" t="s">
        <v>400</v>
      </c>
      <c r="L206" s="55">
        <v>2014</v>
      </c>
      <c r="M206" s="11" t="str">
        <f>HYPERLINK("http://global.rokid.com", "global.rokid.com")</f>
        <v>global.rokid.com</v>
      </c>
      <c r="N206" s="11" t="str">
        <f>HYPERLINK("https://my.pitchbook.com?c=167558-32", "View Company Online")</f>
        <v>View Company Online</v>
      </c>
    </row>
    <row r="207" spans="1:14" x14ac:dyDescent="0.35">
      <c r="A207" s="6" t="s">
        <v>512</v>
      </c>
      <c r="B207" s="6" t="s">
        <v>1192</v>
      </c>
      <c r="C207" s="6" t="s">
        <v>159</v>
      </c>
      <c r="D207" s="32">
        <v>582.69000000000005</v>
      </c>
      <c r="E207" s="20">
        <v>45669</v>
      </c>
      <c r="F207" s="32">
        <v>1000</v>
      </c>
      <c r="G207" s="20">
        <v>45669</v>
      </c>
      <c r="H207" s="44">
        <v>10</v>
      </c>
      <c r="I207" s="44">
        <v>88</v>
      </c>
      <c r="J207" s="6" t="s">
        <v>513</v>
      </c>
      <c r="K207" s="6" t="s">
        <v>68</v>
      </c>
      <c r="L207" s="56">
        <v>2015</v>
      </c>
      <c r="M207" s="12" t="str">
        <f>HYPERLINK("http://www.cerahq.com", "www.cerahq.com")</f>
        <v>www.cerahq.com</v>
      </c>
      <c r="N207" s="12" t="str">
        <f>HYPERLINK("https://my.pitchbook.com?c=164366-47", "View Company Online")</f>
        <v>View Company Online</v>
      </c>
    </row>
    <row r="208" spans="1:14" x14ac:dyDescent="0.35">
      <c r="A208" s="5" t="s">
        <v>514</v>
      </c>
      <c r="B208" s="6" t="s">
        <v>1192</v>
      </c>
      <c r="C208" s="5" t="s">
        <v>31</v>
      </c>
      <c r="D208" s="31">
        <v>581.66</v>
      </c>
      <c r="E208" s="19">
        <v>45961</v>
      </c>
      <c r="F208" s="31">
        <v>1300</v>
      </c>
      <c r="G208" s="19">
        <v>45392</v>
      </c>
      <c r="H208" s="43">
        <v>31</v>
      </c>
      <c r="I208" s="43">
        <v>52</v>
      </c>
      <c r="J208" s="5" t="s">
        <v>515</v>
      </c>
      <c r="K208" s="5" t="s">
        <v>516</v>
      </c>
      <c r="L208" s="55">
        <v>2014</v>
      </c>
      <c r="M208" s="11" t="str">
        <f>HYPERLINK("http://www.ridezum.com", "www.ridezum.com")</f>
        <v>www.ridezum.com</v>
      </c>
      <c r="N208" s="11" t="str">
        <f>HYPERLINK("https://my.pitchbook.com?c=155065-42", "View Company Online")</f>
        <v>View Company Online</v>
      </c>
    </row>
    <row r="209" spans="1:14" x14ac:dyDescent="0.35">
      <c r="A209" s="6" t="s">
        <v>517</v>
      </c>
      <c r="B209" s="6" t="s">
        <v>39</v>
      </c>
      <c r="C209" s="6" t="s">
        <v>178</v>
      </c>
      <c r="D209" s="32">
        <v>580.03</v>
      </c>
      <c r="E209" s="20">
        <v>45876</v>
      </c>
      <c r="F209" s="32">
        <v>3100.04</v>
      </c>
      <c r="G209" s="20">
        <v>44489</v>
      </c>
      <c r="H209" s="44" t="s">
        <v>24</v>
      </c>
      <c r="I209" s="44" t="s">
        <v>24</v>
      </c>
      <c r="J209" s="6" t="s">
        <v>518</v>
      </c>
      <c r="K209" s="6" t="s">
        <v>519</v>
      </c>
      <c r="L209" s="56">
        <v>2017</v>
      </c>
      <c r="M209" s="12" t="str">
        <f>HYPERLINK("http://www.dreame.tech", "www.dreame.tech")</f>
        <v>www.dreame.tech</v>
      </c>
      <c r="N209" s="12" t="str">
        <f>HYPERLINK("https://my.pitchbook.com?c=437327-29", "View Company Online")</f>
        <v>View Company Online</v>
      </c>
    </row>
    <row r="210" spans="1:14" x14ac:dyDescent="0.35">
      <c r="A210" s="5" t="s">
        <v>520</v>
      </c>
      <c r="B210" s="6" t="s">
        <v>1192</v>
      </c>
      <c r="C210" s="5" t="s">
        <v>159</v>
      </c>
      <c r="D210" s="31">
        <v>579.05999999999995</v>
      </c>
      <c r="E210" s="19">
        <v>45747</v>
      </c>
      <c r="F210" s="31">
        <v>1793.52</v>
      </c>
      <c r="G210" s="19">
        <v>45747</v>
      </c>
      <c r="H210" s="43" t="s">
        <v>24</v>
      </c>
      <c r="I210" s="43" t="s">
        <v>24</v>
      </c>
      <c r="J210" s="5" t="s">
        <v>521</v>
      </c>
      <c r="K210" s="5" t="s">
        <v>68</v>
      </c>
      <c r="L210" s="55">
        <v>2021</v>
      </c>
      <c r="M210" s="11" t="str">
        <f>HYPERLINK("http://www.isomorphiclabs.com", "www.isomorphiclabs.com")</f>
        <v>www.isomorphiclabs.com</v>
      </c>
      <c r="N210" s="11" t="str">
        <f>HYPERLINK("https://my.pitchbook.com?c=538055-20", "View Company Online")</f>
        <v>View Company Online</v>
      </c>
    </row>
    <row r="211" spans="1:14" x14ac:dyDescent="0.35">
      <c r="A211" s="6" t="s">
        <v>522</v>
      </c>
      <c r="B211" s="6" t="s">
        <v>15</v>
      </c>
      <c r="C211" s="6" t="s">
        <v>156</v>
      </c>
      <c r="D211" s="32">
        <v>576.15</v>
      </c>
      <c r="E211" s="20">
        <v>45901</v>
      </c>
      <c r="F211" s="32">
        <v>10430</v>
      </c>
      <c r="G211" s="20">
        <v>44420</v>
      </c>
      <c r="H211" s="44">
        <v>23</v>
      </c>
      <c r="I211" s="44">
        <v>62</v>
      </c>
      <c r="J211" s="6" t="s">
        <v>523</v>
      </c>
      <c r="K211" s="6" t="s">
        <v>83</v>
      </c>
      <c r="L211" s="56">
        <v>2011</v>
      </c>
      <c r="M211" s="12" t="str">
        <f>HYPERLINK("http://www.talkdesk.com", "www.talkdesk.com")</f>
        <v>www.talkdesk.com</v>
      </c>
      <c r="N211" s="12" t="str">
        <f>HYPERLINK("https://my.pitchbook.com?c=54522-55", "View Company Online")</f>
        <v>View Company Online</v>
      </c>
    </row>
    <row r="212" spans="1:14" x14ac:dyDescent="0.35">
      <c r="A212" s="5" t="s">
        <v>524</v>
      </c>
      <c r="B212" s="5" t="s">
        <v>15</v>
      </c>
      <c r="C212" s="5" t="s">
        <v>156</v>
      </c>
      <c r="D212" s="31">
        <v>570</v>
      </c>
      <c r="E212" s="19">
        <v>46028</v>
      </c>
      <c r="F212" s="31" t="s">
        <v>24</v>
      </c>
      <c r="G212" s="19" t="s">
        <v>24</v>
      </c>
      <c r="H212" s="43" t="s">
        <v>24</v>
      </c>
      <c r="I212" s="43" t="s">
        <v>24</v>
      </c>
      <c r="J212" s="5" t="s">
        <v>525</v>
      </c>
      <c r="K212" s="5" t="s">
        <v>219</v>
      </c>
      <c r="L212" s="55">
        <v>2023</v>
      </c>
      <c r="M212" s="11" t="str">
        <f>HYPERLINK("http://www.stepfun.com", "www.stepfun.com")</f>
        <v>www.stepfun.com</v>
      </c>
      <c r="N212" s="11" t="str">
        <f>HYPERLINK("https://my.pitchbook.com?c=721081-18", "View Company Online")</f>
        <v>View Company Online</v>
      </c>
    </row>
    <row r="213" spans="1:14" x14ac:dyDescent="0.35">
      <c r="A213" s="6" t="s">
        <v>526</v>
      </c>
      <c r="B213" s="6" t="s">
        <v>1192</v>
      </c>
      <c r="C213" s="6" t="s">
        <v>36</v>
      </c>
      <c r="D213" s="32">
        <v>566.13</v>
      </c>
      <c r="E213" s="20">
        <v>46052</v>
      </c>
      <c r="F213" s="32">
        <v>991.33</v>
      </c>
      <c r="G213" s="20">
        <v>44559</v>
      </c>
      <c r="H213" s="44">
        <v>4</v>
      </c>
      <c r="I213" s="44">
        <v>83</v>
      </c>
      <c r="J213" s="6" t="s">
        <v>527</v>
      </c>
      <c r="K213" s="6" t="s">
        <v>528</v>
      </c>
      <c r="L213" s="56">
        <v>2015</v>
      </c>
      <c r="M213" s="12" t="str">
        <f>HYPERLINK("http://www.vulcanforms.com", "www.vulcanforms.com")</f>
        <v>www.vulcanforms.com</v>
      </c>
      <c r="N213" s="12" t="str">
        <f>HYPERLINK("https://my.pitchbook.com?c=268366-51", "View Company Online")</f>
        <v>View Company Online</v>
      </c>
    </row>
    <row r="214" spans="1:14" x14ac:dyDescent="0.35">
      <c r="A214" s="5" t="s">
        <v>529</v>
      </c>
      <c r="B214" s="6" t="s">
        <v>1192</v>
      </c>
      <c r="C214" s="5" t="s">
        <v>31</v>
      </c>
      <c r="D214" s="31">
        <v>565.91999999999996</v>
      </c>
      <c r="E214" s="19">
        <v>45945</v>
      </c>
      <c r="F214" s="31" t="s">
        <v>24</v>
      </c>
      <c r="G214" s="19" t="s">
        <v>24</v>
      </c>
      <c r="H214" s="43" t="s">
        <v>24</v>
      </c>
      <c r="I214" s="43" t="s">
        <v>24</v>
      </c>
      <c r="J214" s="5" t="s">
        <v>530</v>
      </c>
      <c r="K214" s="5" t="s">
        <v>531</v>
      </c>
      <c r="L214" s="55">
        <v>2022</v>
      </c>
      <c r="M214" s="5" t="s">
        <v>24</v>
      </c>
      <c r="N214" s="11" t="str">
        <f>HYPERLINK("https://my.pitchbook.com?c=593150-32", "View Company Online")</f>
        <v>View Company Online</v>
      </c>
    </row>
    <row r="215" spans="1:14" x14ac:dyDescent="0.35">
      <c r="A215" s="6" t="s">
        <v>532</v>
      </c>
      <c r="B215" s="6" t="s">
        <v>1192</v>
      </c>
      <c r="C215" s="6" t="s">
        <v>48</v>
      </c>
      <c r="D215" s="32">
        <v>565.4</v>
      </c>
      <c r="E215" s="20">
        <v>45742</v>
      </c>
      <c r="F215" s="32">
        <v>3500</v>
      </c>
      <c r="G215" s="20">
        <v>45742</v>
      </c>
      <c r="H215" s="44">
        <v>19</v>
      </c>
      <c r="I215" s="44">
        <v>78</v>
      </c>
      <c r="J215" s="6" t="s">
        <v>533</v>
      </c>
      <c r="K215" s="6" t="s">
        <v>18</v>
      </c>
      <c r="L215" s="56">
        <v>2017</v>
      </c>
      <c r="M215" s="12" t="str">
        <f>HYPERLINK("http://www.mercury.com", "www.mercury.com")</f>
        <v>www.mercury.com</v>
      </c>
      <c r="N215" s="12" t="str">
        <f>HYPERLINK("https://my.pitchbook.com?c=222307-21", "View Company Online")</f>
        <v>View Company Online</v>
      </c>
    </row>
    <row r="216" spans="1:14" x14ac:dyDescent="0.35">
      <c r="A216" s="5" t="s">
        <v>534</v>
      </c>
      <c r="B216" s="6" t="s">
        <v>1192</v>
      </c>
      <c r="C216" s="5" t="s">
        <v>31</v>
      </c>
      <c r="D216" s="31">
        <v>561.72</v>
      </c>
      <c r="E216" s="19">
        <v>44522</v>
      </c>
      <c r="F216" s="31">
        <v>2550</v>
      </c>
      <c r="G216" s="19">
        <v>44522</v>
      </c>
      <c r="H216" s="43">
        <v>53</v>
      </c>
      <c r="I216" s="43">
        <v>25</v>
      </c>
      <c r="J216" s="5" t="s">
        <v>535</v>
      </c>
      <c r="K216" s="5" t="s">
        <v>536</v>
      </c>
      <c r="L216" s="55">
        <v>2011</v>
      </c>
      <c r="M216" s="11" t="str">
        <f>HYPERLINK("http://company.shopltk.com", "company.shopltk.com")</f>
        <v>company.shopltk.com</v>
      </c>
      <c r="N216" s="11" t="str">
        <f>HYPERLINK("https://my.pitchbook.com?c=91845-82", "View Company Online")</f>
        <v>View Company Online</v>
      </c>
    </row>
    <row r="217" spans="1:14" x14ac:dyDescent="0.35">
      <c r="A217" s="6" t="s">
        <v>537</v>
      </c>
      <c r="B217" s="6" t="s">
        <v>15</v>
      </c>
      <c r="C217" s="6" t="s">
        <v>156</v>
      </c>
      <c r="D217" s="32">
        <v>561.55999999999995</v>
      </c>
      <c r="E217" s="20">
        <v>46037</v>
      </c>
      <c r="F217" s="32">
        <v>3000</v>
      </c>
      <c r="G217" s="20">
        <v>46037</v>
      </c>
      <c r="H217" s="44">
        <v>25</v>
      </c>
      <c r="I217" s="44">
        <v>70</v>
      </c>
      <c r="J217" s="6" t="s">
        <v>538</v>
      </c>
      <c r="K217" s="6" t="s">
        <v>539</v>
      </c>
      <c r="L217" s="56">
        <v>2018</v>
      </c>
      <c r="M217" s="12" t="str">
        <f>HYPERLINK("http://www.parloa.com", "www.parloa.com")</f>
        <v>www.parloa.com</v>
      </c>
      <c r="N217" s="12" t="str">
        <f>HYPERLINK("https://my.pitchbook.com?c=438793-66", "View Company Online")</f>
        <v>View Company Online</v>
      </c>
    </row>
    <row r="218" spans="1:14" x14ac:dyDescent="0.35">
      <c r="A218" s="5" t="s">
        <v>540</v>
      </c>
      <c r="B218" s="5" t="s">
        <v>26</v>
      </c>
      <c r="C218" s="5" t="s">
        <v>55</v>
      </c>
      <c r="D218" s="31">
        <v>555.98</v>
      </c>
      <c r="E218" s="19">
        <v>45973</v>
      </c>
      <c r="F218" s="31">
        <v>1000</v>
      </c>
      <c r="G218" s="19">
        <v>45973</v>
      </c>
      <c r="H218" s="43">
        <v>3</v>
      </c>
      <c r="I218" s="43">
        <v>95</v>
      </c>
      <c r="J218" s="5" t="s">
        <v>541</v>
      </c>
      <c r="K218" s="5" t="s">
        <v>542</v>
      </c>
      <c r="L218" s="55">
        <v>2002</v>
      </c>
      <c r="M218" s="11" t="str">
        <f>HYPERLINK("http://www.forterra.com", "www.forterra.com")</f>
        <v>www.forterra.com</v>
      </c>
      <c r="N218" s="11" t="str">
        <f>HYPERLINK("https://my.pitchbook.com?c=264910-06", "View Company Online")</f>
        <v>View Company Online</v>
      </c>
    </row>
    <row r="219" spans="1:14" x14ac:dyDescent="0.35">
      <c r="A219" s="6" t="s">
        <v>543</v>
      </c>
      <c r="B219" s="6" t="s">
        <v>1192</v>
      </c>
      <c r="C219" s="6" t="s">
        <v>159</v>
      </c>
      <c r="D219" s="32">
        <v>554</v>
      </c>
      <c r="E219" s="20">
        <v>45944</v>
      </c>
      <c r="F219" s="32">
        <v>646</v>
      </c>
      <c r="G219" s="20">
        <v>45667</v>
      </c>
      <c r="H219" s="44">
        <v>3</v>
      </c>
      <c r="I219" s="44">
        <v>95</v>
      </c>
      <c r="J219" s="6" t="s">
        <v>544</v>
      </c>
      <c r="K219" s="6" t="s">
        <v>50</v>
      </c>
      <c r="L219" s="56">
        <v>2023</v>
      </c>
      <c r="M219" s="12" t="str">
        <f>HYPERLINK("http://www.kardigan.bio", "www.kardigan.bio")</f>
        <v>www.kardigan.bio</v>
      </c>
      <c r="N219" s="12" t="str">
        <f>HYPERLINK("https://my.pitchbook.com?c=731954-98", "View Company Online")</f>
        <v>View Company Online</v>
      </c>
    </row>
    <row r="220" spans="1:14" x14ac:dyDescent="0.35">
      <c r="A220" s="5" t="s">
        <v>545</v>
      </c>
      <c r="B220" s="6" t="s">
        <v>1192</v>
      </c>
      <c r="C220" s="5" t="s">
        <v>48</v>
      </c>
      <c r="D220" s="31">
        <v>550.70000000000005</v>
      </c>
      <c r="E220" s="19">
        <v>45447</v>
      </c>
      <c r="F220" s="31">
        <v>1336.16</v>
      </c>
      <c r="G220" s="19">
        <v>45447</v>
      </c>
      <c r="H220" s="43">
        <v>9</v>
      </c>
      <c r="I220" s="43">
        <v>87</v>
      </c>
      <c r="J220" s="5" t="s">
        <v>546</v>
      </c>
      <c r="K220" s="5" t="s">
        <v>253</v>
      </c>
      <c r="L220" s="55">
        <v>2014</v>
      </c>
      <c r="M220" s="11" t="str">
        <f>HYPERLINK("http://www.nium.com", "www.nium.com")</f>
        <v>www.nium.com</v>
      </c>
      <c r="N220" s="11" t="str">
        <f>HYPERLINK("https://my.pitchbook.com?c=113844-16", "View Company Online")</f>
        <v>View Company Online</v>
      </c>
    </row>
    <row r="221" spans="1:14" x14ac:dyDescent="0.35">
      <c r="A221" s="6" t="s">
        <v>547</v>
      </c>
      <c r="B221" s="6" t="s">
        <v>1192</v>
      </c>
      <c r="C221" s="6" t="s">
        <v>159</v>
      </c>
      <c r="D221" s="32">
        <v>550</v>
      </c>
      <c r="E221" s="20">
        <v>45914</v>
      </c>
      <c r="F221" s="32">
        <v>1256</v>
      </c>
      <c r="G221" s="20">
        <v>45914</v>
      </c>
      <c r="H221" s="44">
        <v>52</v>
      </c>
      <c r="I221" s="44">
        <v>46</v>
      </c>
      <c r="J221" s="6" t="s">
        <v>548</v>
      </c>
      <c r="K221" s="6" t="s">
        <v>549</v>
      </c>
      <c r="L221" s="56">
        <v>2023</v>
      </c>
      <c r="M221" s="12" t="str">
        <f>HYPERLINK("http://www.lila.ai", "www.lila.ai")</f>
        <v>www.lila.ai</v>
      </c>
      <c r="N221" s="12" t="str">
        <f>HYPERLINK("https://my.pitchbook.com?c=719996-50", "View Company Online")</f>
        <v>View Company Online</v>
      </c>
    </row>
    <row r="222" spans="1:14" x14ac:dyDescent="0.35">
      <c r="A222" s="5" t="s">
        <v>550</v>
      </c>
      <c r="B222" s="6" t="s">
        <v>1192</v>
      </c>
      <c r="C222" s="5" t="s">
        <v>48</v>
      </c>
      <c r="D222" s="31">
        <v>550</v>
      </c>
      <c r="E222" s="19">
        <v>45910</v>
      </c>
      <c r="F222" s="31">
        <v>1000</v>
      </c>
      <c r="G222" s="19">
        <v>44407</v>
      </c>
      <c r="H222" s="43">
        <v>37</v>
      </c>
      <c r="I222" s="43">
        <v>41</v>
      </c>
      <c r="J222" s="5" t="s">
        <v>551</v>
      </c>
      <c r="K222" s="5" t="s">
        <v>552</v>
      </c>
      <c r="L222" s="55">
        <v>2007</v>
      </c>
      <c r="M222" s="11" t="str">
        <f>HYPERLINK("http://www.vnlife.vn", "www.vnlife.vn")</f>
        <v>www.vnlife.vn</v>
      </c>
      <c r="N222" s="11" t="str">
        <f>HYPERLINK("https://my.pitchbook.com?c=433418-50", "View Company Online")</f>
        <v>View Company Online</v>
      </c>
    </row>
    <row r="223" spans="1:14" x14ac:dyDescent="0.35">
      <c r="A223" s="6" t="s">
        <v>553</v>
      </c>
      <c r="B223" s="6" t="s">
        <v>1192</v>
      </c>
      <c r="C223" s="6" t="s">
        <v>159</v>
      </c>
      <c r="D223" s="32">
        <v>547</v>
      </c>
      <c r="E223" s="20">
        <v>44935</v>
      </c>
      <c r="F223" s="32">
        <v>35</v>
      </c>
      <c r="G223" s="20">
        <v>43928</v>
      </c>
      <c r="H223" s="44">
        <v>47</v>
      </c>
      <c r="I223" s="44">
        <v>46</v>
      </c>
      <c r="J223" s="6" t="s">
        <v>554</v>
      </c>
      <c r="K223" s="6" t="s">
        <v>555</v>
      </c>
      <c r="L223" s="56">
        <v>2019</v>
      </c>
      <c r="M223" s="12" t="str">
        <f>HYPERLINK("http://www.monogramhealth.com", "www.monogramhealth.com")</f>
        <v>www.monogramhealth.com</v>
      </c>
      <c r="N223" s="12" t="str">
        <f>HYPERLINK("https://my.pitchbook.com?c=307782-82", "View Company Online")</f>
        <v>View Company Online</v>
      </c>
    </row>
    <row r="224" spans="1:14" x14ac:dyDescent="0.35">
      <c r="A224" s="5" t="s">
        <v>556</v>
      </c>
      <c r="B224" s="5" t="s">
        <v>15</v>
      </c>
      <c r="C224" s="5" t="s">
        <v>156</v>
      </c>
      <c r="D224" s="31">
        <v>545</v>
      </c>
      <c r="E224" s="19">
        <v>46093</v>
      </c>
      <c r="F224" s="31">
        <v>1600</v>
      </c>
      <c r="G224" s="19">
        <v>46093</v>
      </c>
      <c r="H224" s="43">
        <v>81</v>
      </c>
      <c r="I224" s="43">
        <v>14</v>
      </c>
      <c r="J224" s="5" t="s">
        <v>557</v>
      </c>
      <c r="K224" s="5" t="s">
        <v>83</v>
      </c>
      <c r="L224" s="55">
        <v>2023</v>
      </c>
      <c r="M224" s="11" t="str">
        <f>HYPERLINK("http://www.mainfunc.ai", "www.mainfunc.ai")</f>
        <v>www.mainfunc.ai</v>
      </c>
      <c r="N224" s="11" t="str">
        <f>HYPERLINK("https://my.pitchbook.com?c=606384-19", "View Company Online")</f>
        <v>View Company Online</v>
      </c>
    </row>
    <row r="225" spans="1:14" x14ac:dyDescent="0.35">
      <c r="A225" s="6" t="s">
        <v>558</v>
      </c>
      <c r="B225" s="6" t="s">
        <v>15</v>
      </c>
      <c r="C225" s="6" t="s">
        <v>22</v>
      </c>
      <c r="D225" s="32">
        <v>543.28</v>
      </c>
      <c r="E225" s="20">
        <v>46062</v>
      </c>
      <c r="F225" s="32">
        <v>5120</v>
      </c>
      <c r="G225" s="20">
        <v>46062</v>
      </c>
      <c r="H225" s="44">
        <v>8</v>
      </c>
      <c r="I225" s="44">
        <v>79</v>
      </c>
      <c r="J225" s="6" t="s">
        <v>559</v>
      </c>
      <c r="K225" s="6" t="s">
        <v>253</v>
      </c>
      <c r="L225" s="56">
        <v>2020</v>
      </c>
      <c r="M225" s="12" t="str">
        <f>HYPERLINK("http://www.supabase.com", "www.supabase.com")</f>
        <v>www.supabase.com</v>
      </c>
      <c r="N225" s="12" t="str">
        <f>HYPERLINK("https://my.pitchbook.com?c=437773-51", "View Company Online")</f>
        <v>View Company Online</v>
      </c>
    </row>
    <row r="226" spans="1:14" x14ac:dyDescent="0.35">
      <c r="A226" s="5" t="s">
        <v>560</v>
      </c>
      <c r="B226" s="5" t="s">
        <v>26</v>
      </c>
      <c r="C226" s="5" t="s">
        <v>27</v>
      </c>
      <c r="D226" s="31">
        <v>543.16</v>
      </c>
      <c r="E226" s="19">
        <v>45379</v>
      </c>
      <c r="F226" s="31">
        <v>1090.26</v>
      </c>
      <c r="G226" s="19">
        <v>44743</v>
      </c>
      <c r="H226" s="43" t="s">
        <v>24</v>
      </c>
      <c r="I226" s="43" t="s">
        <v>24</v>
      </c>
      <c r="J226" s="5" t="s">
        <v>561</v>
      </c>
      <c r="K226" s="5" t="s">
        <v>219</v>
      </c>
      <c r="L226" s="55">
        <v>2013</v>
      </c>
      <c r="M226" s="11" t="str">
        <f>HYPERLINK("http://www.zongmutech.com", "www.zongmutech.com")</f>
        <v>www.zongmutech.com</v>
      </c>
      <c r="N226" s="11" t="str">
        <f>HYPERLINK("https://my.pitchbook.com?c=171036-28", "View Company Online")</f>
        <v>View Company Online</v>
      </c>
    </row>
    <row r="227" spans="1:14" x14ac:dyDescent="0.35">
      <c r="A227" s="6" t="s">
        <v>562</v>
      </c>
      <c r="B227" s="6" t="s">
        <v>39</v>
      </c>
      <c r="C227" s="6" t="s">
        <v>70</v>
      </c>
      <c r="D227" s="32">
        <v>542</v>
      </c>
      <c r="E227" s="20">
        <v>45978</v>
      </c>
      <c r="F227" s="32" t="s">
        <v>24</v>
      </c>
      <c r="G227" s="20" t="s">
        <v>24</v>
      </c>
      <c r="H227" s="44">
        <v>85</v>
      </c>
      <c r="I227" s="44">
        <v>7</v>
      </c>
      <c r="J227" s="6" t="s">
        <v>563</v>
      </c>
      <c r="K227" s="6" t="s">
        <v>29</v>
      </c>
      <c r="L227" s="56">
        <v>2023</v>
      </c>
      <c r="M227" s="12" t="str">
        <f>HYPERLINK("http://www.gmicloud.ai", "www.gmicloud.ai")</f>
        <v>www.gmicloud.ai</v>
      </c>
      <c r="N227" s="12" t="str">
        <f>HYPERLINK("https://my.pitchbook.com?c=608849-02", "View Company Online")</f>
        <v>View Company Online</v>
      </c>
    </row>
    <row r="228" spans="1:14" x14ac:dyDescent="0.35">
      <c r="A228" s="5" t="s">
        <v>564</v>
      </c>
      <c r="B228" s="5" t="s">
        <v>26</v>
      </c>
      <c r="C228" s="5" t="s">
        <v>27</v>
      </c>
      <c r="D228" s="31">
        <v>541.65</v>
      </c>
      <c r="E228" s="19">
        <v>46057</v>
      </c>
      <c r="F228" s="31" t="s">
        <v>24</v>
      </c>
      <c r="G228" s="19" t="s">
        <v>24</v>
      </c>
      <c r="H228" s="43" t="s">
        <v>24</v>
      </c>
      <c r="I228" s="43" t="s">
        <v>24</v>
      </c>
      <c r="J228" s="5" t="s">
        <v>565</v>
      </c>
      <c r="K228" s="5" t="s">
        <v>154</v>
      </c>
      <c r="L228" s="55">
        <v>2022</v>
      </c>
      <c r="M228" s="11" t="str">
        <f>HYPERLINK("http://www.windrose.tech", "www.windrose.tech")</f>
        <v>www.windrose.tech</v>
      </c>
      <c r="N228" s="11" t="str">
        <f>HYPERLINK("https://my.pitchbook.com?c=503700-04", "View Company Online")</f>
        <v>View Company Online</v>
      </c>
    </row>
    <row r="229" spans="1:14" x14ac:dyDescent="0.35">
      <c r="A229" s="6" t="s">
        <v>566</v>
      </c>
      <c r="B229" s="6" t="s">
        <v>26</v>
      </c>
      <c r="C229" s="6" t="s">
        <v>55</v>
      </c>
      <c r="D229" s="32">
        <v>540.34</v>
      </c>
      <c r="E229" s="20">
        <v>45939</v>
      </c>
      <c r="F229" s="32">
        <v>1100</v>
      </c>
      <c r="G229" s="20">
        <v>45720</v>
      </c>
      <c r="H229" s="44">
        <v>7</v>
      </c>
      <c r="I229" s="44">
        <v>90</v>
      </c>
      <c r="J229" s="6" t="s">
        <v>567</v>
      </c>
      <c r="K229" s="6" t="s">
        <v>568</v>
      </c>
      <c r="L229" s="56">
        <v>2018</v>
      </c>
      <c r="M229" s="12" t="str">
        <f>HYPERLINK("http://www.epirusinc.com", "www.epirusinc.com")</f>
        <v>www.epirusinc.com</v>
      </c>
      <c r="N229" s="12" t="str">
        <f>HYPERLINK("https://my.pitchbook.com?c=234124-03", "View Company Online")</f>
        <v>View Company Online</v>
      </c>
    </row>
    <row r="230" spans="1:14" x14ac:dyDescent="0.35">
      <c r="A230" s="5" t="s">
        <v>569</v>
      </c>
      <c r="B230" s="6" t="s">
        <v>1192</v>
      </c>
      <c r="C230" s="5" t="s">
        <v>31</v>
      </c>
      <c r="D230" s="31">
        <v>538.94000000000005</v>
      </c>
      <c r="E230" s="19">
        <v>46048</v>
      </c>
      <c r="F230" s="31">
        <v>3943.69</v>
      </c>
      <c r="G230" s="19">
        <v>46048</v>
      </c>
      <c r="H230" s="43">
        <v>11</v>
      </c>
      <c r="I230" s="43">
        <v>87</v>
      </c>
      <c r="J230" s="5" t="s">
        <v>570</v>
      </c>
      <c r="K230" s="5" t="s">
        <v>68</v>
      </c>
      <c r="L230" s="55">
        <v>2016</v>
      </c>
      <c r="M230" s="11" t="str">
        <f>HYPERLINK("http://www.synthesia.io", "www.synthesia.io")</f>
        <v>www.synthesia.io</v>
      </c>
      <c r="N230" s="11" t="str">
        <f>HYPERLINK("https://my.pitchbook.com?c=267090-49", "View Company Online")</f>
        <v>View Company Online</v>
      </c>
    </row>
    <row r="231" spans="1:14" x14ac:dyDescent="0.35">
      <c r="A231" s="6" t="s">
        <v>571</v>
      </c>
      <c r="B231" s="6" t="s">
        <v>39</v>
      </c>
      <c r="C231" s="6" t="s">
        <v>40</v>
      </c>
      <c r="D231" s="32">
        <v>538.28</v>
      </c>
      <c r="E231" s="20">
        <v>45485</v>
      </c>
      <c r="F231" s="32">
        <v>558.49</v>
      </c>
      <c r="G231" s="20">
        <v>44102</v>
      </c>
      <c r="H231" s="44" t="s">
        <v>24</v>
      </c>
      <c r="I231" s="44" t="s">
        <v>24</v>
      </c>
      <c r="J231" s="6" t="s">
        <v>572</v>
      </c>
      <c r="K231" s="6" t="s">
        <v>34</v>
      </c>
      <c r="L231" s="56">
        <v>2018</v>
      </c>
      <c r="M231" s="12" t="str">
        <f>HYPERLINK("http://www.semidrive.com", "www.semidrive.com")</f>
        <v>www.semidrive.com</v>
      </c>
      <c r="N231" s="12" t="str">
        <f>HYPERLINK("https://my.pitchbook.com?c=267487-57", "View Company Online")</f>
        <v>View Company Online</v>
      </c>
    </row>
    <row r="232" spans="1:14" x14ac:dyDescent="0.35">
      <c r="A232" s="5" t="s">
        <v>573</v>
      </c>
      <c r="B232" s="6" t="s">
        <v>1192</v>
      </c>
      <c r="C232" s="5" t="s">
        <v>44</v>
      </c>
      <c r="D232" s="31">
        <v>537.96</v>
      </c>
      <c r="E232" s="19">
        <v>45383</v>
      </c>
      <c r="F232" s="31">
        <v>4400</v>
      </c>
      <c r="G232" s="19">
        <v>44349</v>
      </c>
      <c r="H232" s="43">
        <v>12</v>
      </c>
      <c r="I232" s="43">
        <v>86</v>
      </c>
      <c r="J232" s="5" t="s">
        <v>574</v>
      </c>
      <c r="K232" s="5" t="s">
        <v>425</v>
      </c>
      <c r="L232" s="55">
        <v>2011</v>
      </c>
      <c r="M232" s="11" t="str">
        <f>HYPERLINK("http://www.outreach.io", "www.outreach.io")</f>
        <v>www.outreach.io</v>
      </c>
      <c r="N232" s="11" t="str">
        <f>HYPERLINK("https://my.pitchbook.com?c=99300-34", "View Company Online")</f>
        <v>View Company Online</v>
      </c>
    </row>
    <row r="233" spans="1:14" x14ac:dyDescent="0.35">
      <c r="A233" s="6" t="s">
        <v>575</v>
      </c>
      <c r="B233" s="6" t="s">
        <v>39</v>
      </c>
      <c r="C233" s="6" t="s">
        <v>70</v>
      </c>
      <c r="D233" s="32">
        <v>537.5</v>
      </c>
      <c r="E233" s="20">
        <v>46086</v>
      </c>
      <c r="F233" s="32">
        <v>7500</v>
      </c>
      <c r="G233" s="20">
        <v>46086</v>
      </c>
      <c r="H233" s="44">
        <v>4</v>
      </c>
      <c r="I233" s="44">
        <v>93</v>
      </c>
      <c r="J233" s="6" t="s">
        <v>576</v>
      </c>
      <c r="K233" s="6" t="s">
        <v>18</v>
      </c>
      <c r="L233" s="56">
        <v>2022</v>
      </c>
      <c r="M233" s="12" t="str">
        <f>HYPERLINK("http://www.together.ai", "www.together.ai")</f>
        <v>www.together.ai</v>
      </c>
      <c r="N233" s="12" t="str">
        <f>HYPERLINK("https://my.pitchbook.com?c=518020-12", "View Company Online")</f>
        <v>View Company Online</v>
      </c>
    </row>
    <row r="234" spans="1:14" x14ac:dyDescent="0.35">
      <c r="A234" s="5" t="s">
        <v>577</v>
      </c>
      <c r="B234" s="5" t="s">
        <v>15</v>
      </c>
      <c r="C234" s="5" t="s">
        <v>156</v>
      </c>
      <c r="D234" s="31">
        <v>535.84</v>
      </c>
      <c r="E234" s="19" t="s">
        <v>24</v>
      </c>
      <c r="F234" s="31">
        <v>2000</v>
      </c>
      <c r="G234" s="19">
        <v>45434</v>
      </c>
      <c r="H234" s="43">
        <v>18</v>
      </c>
      <c r="I234" s="43">
        <v>80</v>
      </c>
      <c r="J234" s="5" t="s">
        <v>578</v>
      </c>
      <c r="K234" s="5" t="s">
        <v>579</v>
      </c>
      <c r="L234" s="55">
        <v>2009</v>
      </c>
      <c r="M234" s="11" t="str">
        <f>HYPERLINK("http://www.deepl.com", "www.deepl.com")</f>
        <v>www.deepl.com</v>
      </c>
      <c r="N234" s="11" t="str">
        <f>HYPERLINK("https://my.pitchbook.com?c=56947-42", "View Company Online")</f>
        <v>View Company Online</v>
      </c>
    </row>
    <row r="235" spans="1:14" x14ac:dyDescent="0.35">
      <c r="A235" s="6" t="s">
        <v>580</v>
      </c>
      <c r="B235" s="6" t="s">
        <v>1192</v>
      </c>
      <c r="C235" s="6" t="s">
        <v>44</v>
      </c>
      <c r="D235" s="32">
        <v>534</v>
      </c>
      <c r="E235" s="20">
        <v>45510</v>
      </c>
      <c r="F235" s="32">
        <v>5100</v>
      </c>
      <c r="G235" s="20">
        <v>45510</v>
      </c>
      <c r="H235" s="44">
        <v>21</v>
      </c>
      <c r="I235" s="44">
        <v>71</v>
      </c>
      <c r="J235" s="6" t="s">
        <v>581</v>
      </c>
      <c r="K235" s="6" t="s">
        <v>582</v>
      </c>
      <c r="L235" s="56">
        <v>2018</v>
      </c>
      <c r="M235" s="12" t="str">
        <f>HYPERLINK("http://www.abnormal.ai", "www.abnormal.ai")</f>
        <v>www.abnormal.ai</v>
      </c>
      <c r="N235" s="12" t="str">
        <f>HYPERLINK("https://my.pitchbook.com?c=303535-27", "View Company Online")</f>
        <v>View Company Online</v>
      </c>
    </row>
    <row r="236" spans="1:14" x14ac:dyDescent="0.35">
      <c r="A236" s="5" t="s">
        <v>583</v>
      </c>
      <c r="B236" s="6" t="s">
        <v>1192</v>
      </c>
      <c r="C236" s="5" t="s">
        <v>36</v>
      </c>
      <c r="D236" s="31">
        <v>533</v>
      </c>
      <c r="E236" s="19">
        <v>45246</v>
      </c>
      <c r="F236" s="31">
        <v>800</v>
      </c>
      <c r="G236" s="19">
        <v>45122</v>
      </c>
      <c r="H236" s="43">
        <v>57</v>
      </c>
      <c r="I236" s="43">
        <v>1</v>
      </c>
      <c r="J236" s="5" t="s">
        <v>584</v>
      </c>
      <c r="K236" s="5" t="s">
        <v>585</v>
      </c>
      <c r="L236" s="55">
        <v>2012</v>
      </c>
      <c r="M236" s="11" t="str">
        <f>HYPERLINK("http://www.laserlightcomms.com", "www.laserlightcomms.com")</f>
        <v>www.laserlightcomms.com</v>
      </c>
      <c r="N236" s="11" t="str">
        <f>HYPERLINK("https://my.pitchbook.com?c=437362-66", "View Company Online")</f>
        <v>View Company Online</v>
      </c>
    </row>
    <row r="237" spans="1:14" x14ac:dyDescent="0.35">
      <c r="A237" s="6" t="s">
        <v>586</v>
      </c>
      <c r="B237" s="6" t="s">
        <v>15</v>
      </c>
      <c r="C237" s="6" t="s">
        <v>156</v>
      </c>
      <c r="D237" s="32">
        <v>531.95000000000005</v>
      </c>
      <c r="E237" s="20">
        <v>45413</v>
      </c>
      <c r="F237" s="32">
        <v>2000</v>
      </c>
      <c r="G237" s="20">
        <v>44523</v>
      </c>
      <c r="H237" s="44">
        <v>4</v>
      </c>
      <c r="I237" s="44">
        <v>86</v>
      </c>
      <c r="J237" s="6" t="s">
        <v>587</v>
      </c>
      <c r="K237" s="6" t="s">
        <v>90</v>
      </c>
      <c r="L237" s="56">
        <v>2017</v>
      </c>
      <c r="M237" s="12" t="str">
        <f>HYPERLINK("http://www.verbit.ai", "www.verbit.ai")</f>
        <v>www.verbit.ai</v>
      </c>
      <c r="N237" s="12" t="str">
        <f>HYPERLINK("https://my.pitchbook.com?c=183369-34", "View Company Online")</f>
        <v>View Company Online</v>
      </c>
    </row>
    <row r="238" spans="1:14" x14ac:dyDescent="0.35">
      <c r="A238" s="5" t="s">
        <v>588</v>
      </c>
      <c r="B238" s="6" t="s">
        <v>1192</v>
      </c>
      <c r="C238" s="5" t="s">
        <v>159</v>
      </c>
      <c r="D238" s="31">
        <v>529.98</v>
      </c>
      <c r="E238" s="19">
        <v>45904</v>
      </c>
      <c r="F238" s="31">
        <v>1161</v>
      </c>
      <c r="G238" s="19">
        <v>45904</v>
      </c>
      <c r="H238" s="43">
        <v>4</v>
      </c>
      <c r="I238" s="43">
        <v>94</v>
      </c>
      <c r="J238" s="5" t="s">
        <v>589</v>
      </c>
      <c r="K238" s="5" t="s">
        <v>590</v>
      </c>
      <c r="L238" s="55">
        <v>2019</v>
      </c>
      <c r="M238" s="11" t="str">
        <f>HYPERLINK("http://www.enveda.com", "www.enveda.com")</f>
        <v>www.enveda.com</v>
      </c>
      <c r="N238" s="11" t="str">
        <f>HYPERLINK("https://my.pitchbook.com?c=438405-67", "View Company Online")</f>
        <v>View Company Online</v>
      </c>
    </row>
    <row r="239" spans="1:14" x14ac:dyDescent="0.35">
      <c r="A239" s="6" t="s">
        <v>591</v>
      </c>
      <c r="B239" s="6" t="s">
        <v>26</v>
      </c>
      <c r="C239" s="6" t="s">
        <v>27</v>
      </c>
      <c r="D239" s="32">
        <v>529.15</v>
      </c>
      <c r="E239" s="20">
        <v>45813</v>
      </c>
      <c r="F239" s="32">
        <v>1500</v>
      </c>
      <c r="G239" s="20">
        <v>45813</v>
      </c>
      <c r="H239" s="44">
        <v>27</v>
      </c>
      <c r="I239" s="44">
        <v>71</v>
      </c>
      <c r="J239" s="6" t="s">
        <v>592</v>
      </c>
      <c r="K239" s="6" t="s">
        <v>62</v>
      </c>
      <c r="L239" s="56">
        <v>2016</v>
      </c>
      <c r="M239" s="12" t="str">
        <f>HYPERLINK("http://www.plus.ai", "www.plus.ai")</f>
        <v>www.plus.ai</v>
      </c>
      <c r="N239" s="12" t="str">
        <f>HYPERLINK("https://my.pitchbook.com?c=180375-76", "View Company Online")</f>
        <v>View Company Online</v>
      </c>
    </row>
    <row r="240" spans="1:14" x14ac:dyDescent="0.35">
      <c r="A240" s="5" t="s">
        <v>593</v>
      </c>
      <c r="B240" s="5" t="s">
        <v>15</v>
      </c>
      <c r="C240" s="5" t="s">
        <v>22</v>
      </c>
      <c r="D240" s="31">
        <v>528.21</v>
      </c>
      <c r="E240" s="19">
        <v>45796</v>
      </c>
      <c r="F240" s="31">
        <v>2.4700000000000002</v>
      </c>
      <c r="G240" s="19">
        <v>42762</v>
      </c>
      <c r="H240" s="43">
        <v>21</v>
      </c>
      <c r="I240" s="43">
        <v>77</v>
      </c>
      <c r="J240" s="5" t="s">
        <v>594</v>
      </c>
      <c r="K240" s="5" t="s">
        <v>68</v>
      </c>
      <c r="L240" s="55">
        <v>2012</v>
      </c>
      <c r="M240" s="11" t="str">
        <f>HYPERLINK("http://www.mylighthouse.com", "www.mylighthouse.com")</f>
        <v>www.mylighthouse.com</v>
      </c>
      <c r="N240" s="11" t="str">
        <f>HYPERLINK("https://my.pitchbook.com?c=170201-98", "View Company Online")</f>
        <v>View Company Online</v>
      </c>
    </row>
    <row r="241" spans="1:14" x14ac:dyDescent="0.35">
      <c r="A241" s="6" t="s">
        <v>595</v>
      </c>
      <c r="B241" s="6" t="s">
        <v>1192</v>
      </c>
      <c r="C241" s="6" t="s">
        <v>48</v>
      </c>
      <c r="D241" s="32">
        <v>523.66</v>
      </c>
      <c r="E241" s="20">
        <v>46049</v>
      </c>
      <c r="F241" s="32">
        <v>2125.59</v>
      </c>
      <c r="G241" s="20">
        <v>44725</v>
      </c>
      <c r="H241" s="44">
        <v>32</v>
      </c>
      <c r="I241" s="44">
        <v>48</v>
      </c>
      <c r="J241" s="6" t="s">
        <v>596</v>
      </c>
      <c r="K241" s="6" t="s">
        <v>597</v>
      </c>
      <c r="L241" s="56">
        <v>2015</v>
      </c>
      <c r="M241" s="12" t="str">
        <f>HYPERLINK("http://www.lunar.app", "www.lunar.app")</f>
        <v>www.lunar.app</v>
      </c>
      <c r="N241" s="12" t="str">
        <f>HYPERLINK("https://my.pitchbook.com?c=151423-66", "View Company Online")</f>
        <v>View Company Online</v>
      </c>
    </row>
    <row r="242" spans="1:14" x14ac:dyDescent="0.35">
      <c r="A242" s="5" t="s">
        <v>598</v>
      </c>
      <c r="B242" s="5" t="s">
        <v>15</v>
      </c>
      <c r="C242" s="5" t="s">
        <v>22</v>
      </c>
      <c r="D242" s="31">
        <v>521.9</v>
      </c>
      <c r="E242" s="19">
        <v>45717</v>
      </c>
      <c r="F242" s="31">
        <v>2600</v>
      </c>
      <c r="G242" s="19">
        <v>45717</v>
      </c>
      <c r="H242" s="43">
        <v>39</v>
      </c>
      <c r="I242" s="43">
        <v>59</v>
      </c>
      <c r="J242" s="5" t="s">
        <v>599</v>
      </c>
      <c r="K242" s="5" t="s">
        <v>68</v>
      </c>
      <c r="L242" s="55">
        <v>2016</v>
      </c>
      <c r="M242" s="11" t="str">
        <f>HYPERLINK("http://www.quantexa.com", "www.quantexa.com")</f>
        <v>www.quantexa.com</v>
      </c>
      <c r="N242" s="11" t="str">
        <f>HYPERLINK("https://my.pitchbook.com?c=178953-31", "View Company Online")</f>
        <v>View Company Online</v>
      </c>
    </row>
    <row r="243" spans="1:14" x14ac:dyDescent="0.35">
      <c r="A243" s="6" t="s">
        <v>600</v>
      </c>
      <c r="B243" s="6" t="s">
        <v>39</v>
      </c>
      <c r="C243" s="6" t="s">
        <v>40</v>
      </c>
      <c r="D243" s="32">
        <v>521</v>
      </c>
      <c r="E243" s="20">
        <v>45587</v>
      </c>
      <c r="F243" s="32">
        <v>1000</v>
      </c>
      <c r="G243" s="20">
        <v>45587</v>
      </c>
      <c r="H243" s="44">
        <v>12</v>
      </c>
      <c r="I243" s="44">
        <v>80</v>
      </c>
      <c r="J243" s="6" t="s">
        <v>601</v>
      </c>
      <c r="K243" s="6" t="s">
        <v>135</v>
      </c>
      <c r="L243" s="56">
        <v>2015</v>
      </c>
      <c r="M243" s="12" t="str">
        <f>HYPERLINK("http://www.kneron.com", "www.kneron.com")</f>
        <v>www.kneron.com</v>
      </c>
      <c r="N243" s="12" t="str">
        <f>HYPERLINK("https://my.pitchbook.com?c=222283-45", "View Company Online")</f>
        <v>View Company Online</v>
      </c>
    </row>
    <row r="244" spans="1:14" x14ac:dyDescent="0.35">
      <c r="A244" s="5" t="s">
        <v>602</v>
      </c>
      <c r="B244" s="6" t="s">
        <v>1192</v>
      </c>
      <c r="C244" s="5" t="s">
        <v>44</v>
      </c>
      <c r="D244" s="31">
        <v>520</v>
      </c>
      <c r="E244" s="19">
        <v>44580</v>
      </c>
      <c r="F244" s="31">
        <v>2650</v>
      </c>
      <c r="G244" s="19">
        <v>44580</v>
      </c>
      <c r="H244" s="43">
        <v>14</v>
      </c>
      <c r="I244" s="43">
        <v>76</v>
      </c>
      <c r="J244" s="5" t="s">
        <v>603</v>
      </c>
      <c r="K244" s="5" t="s">
        <v>42</v>
      </c>
      <c r="L244" s="55">
        <v>2013</v>
      </c>
      <c r="M244" s="11" t="str">
        <f>HYPERLINK("http://www.clari.com", "www.clari.com")</f>
        <v>www.clari.com</v>
      </c>
      <c r="N244" s="11" t="str">
        <f>HYPERLINK("https://my.pitchbook.com?c=56923-75", "View Company Online")</f>
        <v>View Company Online</v>
      </c>
    </row>
    <row r="245" spans="1:14" x14ac:dyDescent="0.35">
      <c r="A245" s="6" t="s">
        <v>604</v>
      </c>
      <c r="B245" s="6" t="s">
        <v>15</v>
      </c>
      <c r="C245" s="6" t="s">
        <v>16</v>
      </c>
      <c r="D245" s="32">
        <v>519.64</v>
      </c>
      <c r="E245" s="20">
        <v>45609</v>
      </c>
      <c r="F245" s="32">
        <v>104.48</v>
      </c>
      <c r="G245" s="20">
        <v>44136</v>
      </c>
      <c r="H245" s="44">
        <v>68</v>
      </c>
      <c r="I245" s="44">
        <v>25</v>
      </c>
      <c r="J245" s="6" t="s">
        <v>605</v>
      </c>
      <c r="K245" s="6" t="s">
        <v>606</v>
      </c>
      <c r="L245" s="56">
        <v>2019</v>
      </c>
      <c r="M245" s="12" t="str">
        <f>HYPERLINK("http://www.aleph-alpha.com", "www.aleph-alpha.com")</f>
        <v>www.aleph-alpha.com</v>
      </c>
      <c r="N245" s="12" t="str">
        <f>HYPERLINK("https://my.pitchbook.com?c=435439-54", "View Company Online")</f>
        <v>View Company Online</v>
      </c>
    </row>
    <row r="246" spans="1:14" x14ac:dyDescent="0.35">
      <c r="A246" s="5" t="s">
        <v>607</v>
      </c>
      <c r="B246" s="6" t="s">
        <v>1192</v>
      </c>
      <c r="C246" s="5" t="s">
        <v>159</v>
      </c>
      <c r="D246" s="31">
        <v>519.29</v>
      </c>
      <c r="E246" s="19">
        <v>45649</v>
      </c>
      <c r="F246" s="31">
        <v>525</v>
      </c>
      <c r="G246" s="19">
        <v>45649</v>
      </c>
      <c r="H246" s="43">
        <v>45</v>
      </c>
      <c r="I246" s="43">
        <v>45</v>
      </c>
      <c r="J246" s="5" t="s">
        <v>608</v>
      </c>
      <c r="K246" s="5" t="s">
        <v>609</v>
      </c>
      <c r="L246" s="55">
        <v>2019</v>
      </c>
      <c r="M246" s="11" t="str">
        <f>HYPERLINK("http://www.cellarity.com", "www.cellarity.com")</f>
        <v>www.cellarity.com</v>
      </c>
      <c r="N246" s="11" t="str">
        <f>HYPERLINK("https://my.pitchbook.com?c=343674-19", "View Company Online")</f>
        <v>View Company Online</v>
      </c>
    </row>
    <row r="247" spans="1:14" x14ac:dyDescent="0.35">
      <c r="A247" s="6" t="s">
        <v>610</v>
      </c>
      <c r="B247" s="6" t="s">
        <v>1192</v>
      </c>
      <c r="C247" s="6" t="s">
        <v>44</v>
      </c>
      <c r="D247" s="32">
        <v>519.27</v>
      </c>
      <c r="E247" s="20">
        <v>46057</v>
      </c>
      <c r="F247" s="32">
        <v>10000</v>
      </c>
      <c r="G247" s="20">
        <v>46057</v>
      </c>
      <c r="H247" s="44">
        <v>9</v>
      </c>
      <c r="I247" s="44">
        <v>87</v>
      </c>
      <c r="J247" s="6" t="s">
        <v>611</v>
      </c>
      <c r="K247" s="6" t="s">
        <v>18</v>
      </c>
      <c r="L247" s="56">
        <v>2022</v>
      </c>
      <c r="M247" s="12" t="str">
        <f>HYPERLINK("http://www.mercor.com", "www.mercor.com")</f>
        <v>www.mercor.com</v>
      </c>
      <c r="N247" s="12" t="str">
        <f>HYPERLINK("https://my.pitchbook.com?c=534425-05", "View Company Online")</f>
        <v>View Company Online</v>
      </c>
    </row>
    <row r="248" spans="1:14" x14ac:dyDescent="0.35">
      <c r="A248" s="5" t="s">
        <v>612</v>
      </c>
      <c r="B248" s="6" t="s">
        <v>1192</v>
      </c>
      <c r="C248" s="5" t="s">
        <v>44</v>
      </c>
      <c r="D248" s="31">
        <v>516</v>
      </c>
      <c r="E248" s="19" t="s">
        <v>24</v>
      </c>
      <c r="F248" s="31">
        <v>5200</v>
      </c>
      <c r="G248" s="19">
        <v>44581</v>
      </c>
      <c r="H248" s="43">
        <v>8</v>
      </c>
      <c r="I248" s="43">
        <v>90</v>
      </c>
      <c r="J248" s="5" t="s">
        <v>613</v>
      </c>
      <c r="K248" s="5" t="s">
        <v>18</v>
      </c>
      <c r="L248" s="55">
        <v>2013</v>
      </c>
      <c r="M248" s="11" t="str">
        <f>HYPERLINK("http://www.6sense.com", "www.6sense.com")</f>
        <v>www.6sense.com</v>
      </c>
      <c r="N248" s="11" t="str">
        <f>HYPERLINK("https://my.pitchbook.com?c=63251-83", "View Company Online")</f>
        <v>View Company Online</v>
      </c>
    </row>
    <row r="249" spans="1:14" x14ac:dyDescent="0.35">
      <c r="A249" s="6" t="s">
        <v>614</v>
      </c>
      <c r="B249" s="6" t="s">
        <v>1192</v>
      </c>
      <c r="C249" s="6" t="s">
        <v>159</v>
      </c>
      <c r="D249" s="32">
        <v>515</v>
      </c>
      <c r="E249" s="20">
        <v>45670</v>
      </c>
      <c r="F249" s="32">
        <v>1400</v>
      </c>
      <c r="G249" s="20">
        <v>45670</v>
      </c>
      <c r="H249" s="44">
        <v>34</v>
      </c>
      <c r="I249" s="44">
        <v>59</v>
      </c>
      <c r="J249" s="6" t="s">
        <v>615</v>
      </c>
      <c r="K249" s="6" t="s">
        <v>486</v>
      </c>
      <c r="L249" s="56">
        <v>2020</v>
      </c>
      <c r="M249" s="12" t="str">
        <f>HYPERLINK("http://www.truveta.com", "www.truveta.com")</f>
        <v>www.truveta.com</v>
      </c>
      <c r="N249" s="12" t="str">
        <f>HYPERLINK("https://my.pitchbook.com?c=442905-85", "View Company Online")</f>
        <v>View Company Online</v>
      </c>
    </row>
    <row r="250" spans="1:14" x14ac:dyDescent="0.35">
      <c r="A250" s="5" t="s">
        <v>616</v>
      </c>
      <c r="B250" s="6" t="s">
        <v>1192</v>
      </c>
      <c r="C250" s="5" t="s">
        <v>44</v>
      </c>
      <c r="D250" s="31">
        <v>514.84</v>
      </c>
      <c r="E250" s="19">
        <v>46058</v>
      </c>
      <c r="F250" s="31">
        <v>1000</v>
      </c>
      <c r="G250" s="19">
        <v>44448</v>
      </c>
      <c r="H250" s="43">
        <v>24</v>
      </c>
      <c r="I250" s="43">
        <v>62</v>
      </c>
      <c r="J250" s="5" t="s">
        <v>617</v>
      </c>
      <c r="K250" s="5" t="s">
        <v>90</v>
      </c>
      <c r="L250" s="55">
        <v>2017</v>
      </c>
      <c r="M250" s="11" t="str">
        <f>HYPERLINK("http://www.orchard.com", "www.orchard.com")</f>
        <v>www.orchard.com</v>
      </c>
      <c r="N250" s="11" t="str">
        <f>HYPERLINK("https://my.pitchbook.com?c=187767-28", "View Company Online")</f>
        <v>View Company Online</v>
      </c>
    </row>
    <row r="251" spans="1:14" x14ac:dyDescent="0.35">
      <c r="A251" s="6" t="s">
        <v>618</v>
      </c>
      <c r="B251" s="6" t="s">
        <v>26</v>
      </c>
      <c r="C251" s="6" t="s">
        <v>55</v>
      </c>
      <c r="D251" s="32">
        <v>506.1</v>
      </c>
      <c r="E251" s="20">
        <v>46075</v>
      </c>
      <c r="F251" s="32">
        <v>2000</v>
      </c>
      <c r="G251" s="20">
        <v>45867</v>
      </c>
      <c r="H251" s="44">
        <v>91</v>
      </c>
      <c r="I251" s="44">
        <v>5</v>
      </c>
      <c r="J251" s="6" t="s">
        <v>619</v>
      </c>
      <c r="K251" s="6" t="s">
        <v>620</v>
      </c>
      <c r="L251" s="56">
        <v>2023</v>
      </c>
      <c r="M251" s="12" t="str">
        <f>HYPERLINK("http://www.fieldai.com", "www.fieldai.com")</f>
        <v>www.fieldai.com</v>
      </c>
      <c r="N251" s="12" t="str">
        <f>HYPERLINK("https://my.pitchbook.com?c=527019-76", "View Company Online")</f>
        <v>View Company Online</v>
      </c>
    </row>
    <row r="252" spans="1:14" x14ac:dyDescent="0.35">
      <c r="A252" s="5" t="s">
        <v>621</v>
      </c>
      <c r="B252" s="6" t="s">
        <v>1192</v>
      </c>
      <c r="C252" s="5" t="s">
        <v>48</v>
      </c>
      <c r="D252" s="31">
        <v>504.27</v>
      </c>
      <c r="E252" s="19">
        <v>45392</v>
      </c>
      <c r="F252" s="31" t="s">
        <v>24</v>
      </c>
      <c r="G252" s="19" t="s">
        <v>24</v>
      </c>
      <c r="H252" s="43">
        <v>59</v>
      </c>
      <c r="I252" s="43">
        <v>3</v>
      </c>
      <c r="J252" s="5" t="s">
        <v>622</v>
      </c>
      <c r="K252" s="5" t="s">
        <v>331</v>
      </c>
      <c r="L252" s="55">
        <v>2021</v>
      </c>
      <c r="M252" s="11" t="str">
        <f>HYPERLINK("http://www.gilion.com", "www.gilion.com")</f>
        <v>www.gilion.com</v>
      </c>
      <c r="N252" s="11" t="str">
        <f>HYPERLINK("https://my.pitchbook.com?c=488989-72", "View Company Online")</f>
        <v>View Company Online</v>
      </c>
    </row>
    <row r="253" spans="1:14" x14ac:dyDescent="0.35">
      <c r="A253" s="6" t="s">
        <v>623</v>
      </c>
      <c r="B253" s="6" t="s">
        <v>1192</v>
      </c>
      <c r="C253" s="6" t="s">
        <v>44</v>
      </c>
      <c r="D253" s="32">
        <v>502.95</v>
      </c>
      <c r="E253" s="20">
        <v>45861</v>
      </c>
      <c r="F253" s="32">
        <v>4150</v>
      </c>
      <c r="G253" s="20">
        <v>45861</v>
      </c>
      <c r="H253" s="44">
        <v>7</v>
      </c>
      <c r="I253" s="44">
        <v>91</v>
      </c>
      <c r="J253" s="6" t="s">
        <v>624</v>
      </c>
      <c r="K253" s="6" t="s">
        <v>18</v>
      </c>
      <c r="L253" s="56">
        <v>2018</v>
      </c>
      <c r="M253" s="12" t="str">
        <f>HYPERLINK("http://www.vanta.com", "www.vanta.com")</f>
        <v>www.vanta.com</v>
      </c>
      <c r="N253" s="12" t="str">
        <f>HYPERLINK("https://my.pitchbook.com?c=231357-97", "View Company Online")</f>
        <v>View Company Online</v>
      </c>
    </row>
    <row r="254" spans="1:14" x14ac:dyDescent="0.35">
      <c r="A254" s="5" t="s">
        <v>625</v>
      </c>
      <c r="B254" s="6" t="s">
        <v>1192</v>
      </c>
      <c r="C254" s="5" t="s">
        <v>36</v>
      </c>
      <c r="D254" s="31">
        <v>502</v>
      </c>
      <c r="E254" s="19">
        <v>45401</v>
      </c>
      <c r="F254" s="31">
        <v>1100</v>
      </c>
      <c r="G254" s="19">
        <v>45401</v>
      </c>
      <c r="H254" s="43">
        <v>36</v>
      </c>
      <c r="I254" s="43">
        <v>62</v>
      </c>
      <c r="J254" s="5" t="s">
        <v>626</v>
      </c>
      <c r="K254" s="5" t="s">
        <v>18</v>
      </c>
      <c r="L254" s="55">
        <v>2018</v>
      </c>
      <c r="M254" s="11" t="str">
        <f>HYPERLINK("http://www.brightmachines.com", "www.brightmachines.com")</f>
        <v>www.brightmachines.com</v>
      </c>
      <c r="N254" s="11" t="str">
        <f>HYPERLINK("https://my.pitchbook.com?c=229164-40", "View Company Online")</f>
        <v>View Company Online</v>
      </c>
    </row>
    <row r="255" spans="1:14" x14ac:dyDescent="0.35">
      <c r="A255" s="6" t="s">
        <v>627</v>
      </c>
      <c r="B255" s="6" t="s">
        <v>26</v>
      </c>
      <c r="C255" s="6" t="s">
        <v>27</v>
      </c>
      <c r="D255" s="32">
        <v>500.13</v>
      </c>
      <c r="E255" s="20">
        <v>45848</v>
      </c>
      <c r="F255" s="32">
        <v>568.07000000000005</v>
      </c>
      <c r="G255" s="20">
        <v>45532</v>
      </c>
      <c r="H255" s="44" t="s">
        <v>24</v>
      </c>
      <c r="I255" s="44" t="s">
        <v>24</v>
      </c>
      <c r="J255" s="6" t="s">
        <v>628</v>
      </c>
      <c r="K255" s="6" t="s">
        <v>211</v>
      </c>
      <c r="L255" s="56">
        <v>2004</v>
      </c>
      <c r="M255" s="12" t="str">
        <f>HYPERLINK("http://www.autoai.com", "www.autoai.com")</f>
        <v>www.autoai.com</v>
      </c>
      <c r="N255" s="12" t="str">
        <f>HYPERLINK("https://my.pitchbook.com?c=53697-25", "View Company Online")</f>
        <v>View Company Online</v>
      </c>
    </row>
    <row r="256" spans="1:14" x14ac:dyDescent="0.35">
      <c r="A256" s="5" t="s">
        <v>629</v>
      </c>
      <c r="B256" s="5" t="s">
        <v>26</v>
      </c>
      <c r="C256" s="5" t="s">
        <v>27</v>
      </c>
      <c r="D256" s="31">
        <v>500</v>
      </c>
      <c r="E256" s="19">
        <v>45600</v>
      </c>
      <c r="F256" s="31">
        <v>1000</v>
      </c>
      <c r="G256" s="19">
        <v>44433</v>
      </c>
      <c r="H256" s="43" t="s">
        <v>24</v>
      </c>
      <c r="I256" s="43" t="s">
        <v>24</v>
      </c>
      <c r="J256" s="5" t="s">
        <v>630</v>
      </c>
      <c r="K256" s="5" t="s">
        <v>244</v>
      </c>
      <c r="L256" s="55">
        <v>2019</v>
      </c>
      <c r="M256" s="11" t="str">
        <f>HYPERLINK("http://www.deeproute.ai", "www.deeproute.ai")</f>
        <v>www.deeproute.ai</v>
      </c>
      <c r="N256" s="11" t="str">
        <f>HYPERLINK("https://my.pitchbook.com?c=310278-79", "View Company Online")</f>
        <v>View Company Online</v>
      </c>
    </row>
    <row r="257" spans="1:14" x14ac:dyDescent="0.35">
      <c r="A257" s="6" t="s">
        <v>631</v>
      </c>
      <c r="B257" s="6" t="s">
        <v>1192</v>
      </c>
      <c r="C257" s="6" t="s">
        <v>44</v>
      </c>
      <c r="D257" s="32">
        <v>500</v>
      </c>
      <c r="E257" s="20">
        <v>45993</v>
      </c>
      <c r="F257" s="32">
        <v>4000</v>
      </c>
      <c r="G257" s="20">
        <v>45993</v>
      </c>
      <c r="H257" s="44">
        <v>50</v>
      </c>
      <c r="I257" s="44">
        <v>42</v>
      </c>
      <c r="J257" s="6" t="s">
        <v>632</v>
      </c>
      <c r="K257" s="6" t="s">
        <v>90</v>
      </c>
      <c r="L257" s="56">
        <v>2024</v>
      </c>
      <c r="M257" s="12" t="str">
        <f>HYPERLINK("http://www.eon.io", "www.eon.io")</f>
        <v>www.eon.io</v>
      </c>
      <c r="N257" s="12" t="str">
        <f>HYPERLINK("https://my.pitchbook.com?c=680304-25", "View Company Online")</f>
        <v>View Company Online</v>
      </c>
    </row>
    <row r="258" spans="1:14" x14ac:dyDescent="0.35">
      <c r="A258" s="5" t="s">
        <v>633</v>
      </c>
      <c r="B258" s="6" t="s">
        <v>1192</v>
      </c>
      <c r="C258" s="5" t="s">
        <v>44</v>
      </c>
      <c r="D258" s="31">
        <v>500</v>
      </c>
      <c r="E258" s="19">
        <v>44697</v>
      </c>
      <c r="F258" s="31" t="s">
        <v>24</v>
      </c>
      <c r="G258" s="19" t="s">
        <v>24</v>
      </c>
      <c r="H258" s="43">
        <v>75</v>
      </c>
      <c r="I258" s="43">
        <v>19</v>
      </c>
      <c r="J258" s="5" t="s">
        <v>634</v>
      </c>
      <c r="K258" s="5" t="s">
        <v>83</v>
      </c>
      <c r="L258" s="55">
        <v>2014</v>
      </c>
      <c r="M258" s="11" t="str">
        <f>HYPERLINK("http://www.hellopebl.com", "www.hellopebl.com")</f>
        <v>www.hellopebl.com</v>
      </c>
      <c r="N258" s="11" t="str">
        <f>HYPERLINK("https://my.pitchbook.com?c=178830-37", "View Company Online")</f>
        <v>View Company Online</v>
      </c>
    </row>
    <row r="259" spans="1:14" x14ac:dyDescent="0.35">
      <c r="A259" s="6" t="s">
        <v>635</v>
      </c>
      <c r="B259" s="6" t="s">
        <v>1192</v>
      </c>
      <c r="C259" s="6" t="s">
        <v>48</v>
      </c>
      <c r="D259" s="32">
        <v>500</v>
      </c>
      <c r="E259" s="20">
        <v>45947</v>
      </c>
      <c r="F259" s="32">
        <v>5000</v>
      </c>
      <c r="G259" s="20">
        <v>45947</v>
      </c>
      <c r="H259" s="44" t="s">
        <v>24</v>
      </c>
      <c r="I259" s="44" t="s">
        <v>24</v>
      </c>
      <c r="J259" s="6" t="s">
        <v>636</v>
      </c>
      <c r="K259" s="6" t="s">
        <v>18</v>
      </c>
      <c r="L259" s="56">
        <v>2025</v>
      </c>
      <c r="M259" s="12" t="str">
        <f>HYPERLINK("http://www.tempo.xyz", "www.tempo.xyz")</f>
        <v>www.tempo.xyz</v>
      </c>
      <c r="N259" s="12" t="str">
        <f>HYPERLINK("https://my.pitchbook.com?c=969386-32", "View Company Online")</f>
        <v>View Company Online</v>
      </c>
    </row>
    <row r="260" spans="1:14" x14ac:dyDescent="0.35">
      <c r="A260" s="5" t="s">
        <v>637</v>
      </c>
      <c r="B260" s="6" t="s">
        <v>1192</v>
      </c>
      <c r="C260" s="5" t="s">
        <v>31</v>
      </c>
      <c r="D260" s="31">
        <v>499.51</v>
      </c>
      <c r="E260" s="19">
        <v>45413</v>
      </c>
      <c r="F260" s="31">
        <v>1792</v>
      </c>
      <c r="G260" s="19">
        <v>45413</v>
      </c>
      <c r="H260" s="43">
        <v>10</v>
      </c>
      <c r="I260" s="43">
        <v>88</v>
      </c>
      <c r="J260" s="5" t="s">
        <v>638</v>
      </c>
      <c r="K260" s="5" t="s">
        <v>516</v>
      </c>
      <c r="L260" s="55">
        <v>2013</v>
      </c>
      <c r="M260" s="11" t="str">
        <f>HYPERLINK("http://www.moloco.com", "www.moloco.com")</f>
        <v>www.moloco.com</v>
      </c>
      <c r="N260" s="11" t="str">
        <f>HYPERLINK("https://my.pitchbook.com?c=99124-84", "View Company Online")</f>
        <v>View Company Online</v>
      </c>
    </row>
    <row r="261" spans="1:14" x14ac:dyDescent="0.35">
      <c r="A261" s="6" t="s">
        <v>639</v>
      </c>
      <c r="B261" s="6" t="s">
        <v>1192</v>
      </c>
      <c r="C261" s="6" t="s">
        <v>44</v>
      </c>
      <c r="D261" s="32">
        <v>499.47</v>
      </c>
      <c r="E261" s="20">
        <v>45286</v>
      </c>
      <c r="F261" s="32">
        <v>1600</v>
      </c>
      <c r="G261" s="20">
        <v>44335</v>
      </c>
      <c r="H261" s="44">
        <v>53</v>
      </c>
      <c r="I261" s="44">
        <v>40</v>
      </c>
      <c r="J261" s="6" t="s">
        <v>640</v>
      </c>
      <c r="K261" s="6" t="s">
        <v>90</v>
      </c>
      <c r="L261" s="56">
        <v>2014</v>
      </c>
      <c r="M261" s="12" t="str">
        <f>HYPERLINK("http://www.asapp.com", "www.asapp.com")</f>
        <v>www.asapp.com</v>
      </c>
      <c r="N261" s="12" t="str">
        <f>HYPERLINK("https://my.pitchbook.com?c=150475-60", "View Company Online")</f>
        <v>View Company Online</v>
      </c>
    </row>
    <row r="262" spans="1:14" x14ac:dyDescent="0.35">
      <c r="A262" s="5" t="s">
        <v>641</v>
      </c>
      <c r="B262" s="6" t="s">
        <v>1192</v>
      </c>
      <c r="C262" s="5" t="s">
        <v>48</v>
      </c>
      <c r="D262" s="31">
        <v>498.86</v>
      </c>
      <c r="E262" s="19">
        <v>45670</v>
      </c>
      <c r="F262" s="31">
        <v>118</v>
      </c>
      <c r="G262" s="19">
        <v>45273</v>
      </c>
      <c r="H262" s="43">
        <v>60</v>
      </c>
      <c r="I262" s="43">
        <v>19</v>
      </c>
      <c r="J262" s="5" t="s">
        <v>642</v>
      </c>
      <c r="K262" s="5" t="s">
        <v>643</v>
      </c>
      <c r="L262" s="55">
        <v>2017</v>
      </c>
      <c r="M262" s="11" t="str">
        <f>HYPERLINK("http://www.sellersfi.com", "www.sellersfi.com")</f>
        <v>www.sellersfi.com</v>
      </c>
      <c r="N262" s="11" t="str">
        <f>HYPERLINK("https://my.pitchbook.com?c=235007-65", "View Company Online")</f>
        <v>View Company Online</v>
      </c>
    </row>
    <row r="263" spans="1:14" x14ac:dyDescent="0.35">
      <c r="A263" s="6" t="s">
        <v>644</v>
      </c>
      <c r="B263" s="6" t="s">
        <v>1192</v>
      </c>
      <c r="C263" s="6" t="s">
        <v>31</v>
      </c>
      <c r="D263" s="32">
        <v>498.38</v>
      </c>
      <c r="E263" s="20">
        <v>45139</v>
      </c>
      <c r="F263" s="32">
        <v>3501</v>
      </c>
      <c r="G263" s="20">
        <v>44473</v>
      </c>
      <c r="H263" s="44">
        <v>3</v>
      </c>
      <c r="I263" s="44">
        <v>42</v>
      </c>
      <c r="J263" s="6" t="s">
        <v>645</v>
      </c>
      <c r="K263" s="6" t="s">
        <v>516</v>
      </c>
      <c r="L263" s="56">
        <v>2006</v>
      </c>
      <c r="M263" s="12" t="str">
        <f>HYPERLINK("http://www.coursehero.com", "www.coursehero.com")</f>
        <v>www.coursehero.com</v>
      </c>
      <c r="N263" s="12" t="str">
        <f>HYPERLINK("https://my.pitchbook.com?c=54244-00", "View Company Online")</f>
        <v>View Company Online</v>
      </c>
    </row>
    <row r="264" spans="1:14" x14ac:dyDescent="0.35">
      <c r="A264" s="5" t="s">
        <v>646</v>
      </c>
      <c r="B264" s="6" t="s">
        <v>1192</v>
      </c>
      <c r="C264" s="5" t="s">
        <v>159</v>
      </c>
      <c r="D264" s="31">
        <v>493.52</v>
      </c>
      <c r="E264" s="19">
        <v>45825</v>
      </c>
      <c r="F264" s="31">
        <v>4553</v>
      </c>
      <c r="G264" s="19">
        <v>45825</v>
      </c>
      <c r="H264" s="43">
        <v>21</v>
      </c>
      <c r="I264" s="43">
        <v>77</v>
      </c>
      <c r="J264" s="5" t="s">
        <v>647</v>
      </c>
      <c r="K264" s="5" t="s">
        <v>90</v>
      </c>
      <c r="L264" s="55">
        <v>2015</v>
      </c>
      <c r="M264" s="11" t="str">
        <f>HYPERLINK("http://www.swordhealth.com", "www.swordhealth.com")</f>
        <v>www.swordhealth.com</v>
      </c>
      <c r="N264" s="11" t="str">
        <f>HYPERLINK("https://my.pitchbook.com?c=111779-92", "View Company Online")</f>
        <v>View Company Online</v>
      </c>
    </row>
    <row r="265" spans="1:14" x14ac:dyDescent="0.35">
      <c r="A265" s="6" t="s">
        <v>648</v>
      </c>
      <c r="B265" s="6" t="s">
        <v>1192</v>
      </c>
      <c r="C265" s="6" t="s">
        <v>159</v>
      </c>
      <c r="D265" s="32">
        <v>490.46</v>
      </c>
      <c r="E265" s="20">
        <v>45658</v>
      </c>
      <c r="F265" s="32">
        <v>1015</v>
      </c>
      <c r="G265" s="20">
        <v>44334</v>
      </c>
      <c r="H265" s="44">
        <v>16</v>
      </c>
      <c r="I265" s="44">
        <v>82</v>
      </c>
      <c r="J265" s="6" t="s">
        <v>649</v>
      </c>
      <c r="K265" s="6" t="s">
        <v>122</v>
      </c>
      <c r="L265" s="56">
        <v>2016</v>
      </c>
      <c r="M265" s="12" t="str">
        <f>HYPERLINK("http://www.pathai.com", "www.pathai.com")</f>
        <v>www.pathai.com</v>
      </c>
      <c r="N265" s="12" t="str">
        <f>HYPERLINK("https://my.pitchbook.com?c=169704-46", "View Company Online")</f>
        <v>View Company Online</v>
      </c>
    </row>
    <row r="266" spans="1:14" x14ac:dyDescent="0.35">
      <c r="A266" s="5" t="s">
        <v>650</v>
      </c>
      <c r="B266" s="6" t="s">
        <v>1192</v>
      </c>
      <c r="C266" s="5" t="s">
        <v>48</v>
      </c>
      <c r="D266" s="31">
        <v>488.93</v>
      </c>
      <c r="E266" s="19">
        <v>45698</v>
      </c>
      <c r="F266" s="31">
        <v>332.35</v>
      </c>
      <c r="G266" s="19">
        <v>45698</v>
      </c>
      <c r="H266" s="43">
        <v>88</v>
      </c>
      <c r="I266" s="43">
        <v>8</v>
      </c>
      <c r="J266" s="5" t="s">
        <v>651</v>
      </c>
      <c r="K266" s="5" t="s">
        <v>652</v>
      </c>
      <c r="L266" s="55">
        <v>2019</v>
      </c>
      <c r="M266" s="11" t="str">
        <f>HYPERLINK("http://www.rainapp.com", "www.rainapp.com")</f>
        <v>www.rainapp.com</v>
      </c>
      <c r="N266" s="11" t="str">
        <f>HYPERLINK("https://my.pitchbook.com?c=431215-75", "View Company Online")</f>
        <v>View Company Online</v>
      </c>
    </row>
    <row r="267" spans="1:14" x14ac:dyDescent="0.35">
      <c r="A267" s="6" t="s">
        <v>653</v>
      </c>
      <c r="B267" s="6" t="s">
        <v>15</v>
      </c>
      <c r="C267" s="6" t="s">
        <v>22</v>
      </c>
      <c r="D267" s="32">
        <v>487.66</v>
      </c>
      <c r="E267" s="20" t="s">
        <v>24</v>
      </c>
      <c r="F267" s="32">
        <v>2000</v>
      </c>
      <c r="G267" s="20">
        <v>44697</v>
      </c>
      <c r="H267" s="44">
        <v>30</v>
      </c>
      <c r="I267" s="44">
        <v>60</v>
      </c>
      <c r="J267" s="6" t="s">
        <v>654</v>
      </c>
      <c r="K267" s="6" t="s">
        <v>122</v>
      </c>
      <c r="L267" s="56">
        <v>2011</v>
      </c>
      <c r="M267" s="12" t="str">
        <f>HYPERLINK("http://www.devo.com", "www.devo.com")</f>
        <v>www.devo.com</v>
      </c>
      <c r="N267" s="12" t="str">
        <f>HYPERLINK("https://my.pitchbook.com?c=64498-51", "View Company Online")</f>
        <v>View Company Online</v>
      </c>
    </row>
    <row r="268" spans="1:14" x14ac:dyDescent="0.35">
      <c r="A268" s="5" t="s">
        <v>655</v>
      </c>
      <c r="B268" s="5" t="s">
        <v>15</v>
      </c>
      <c r="C268" s="5" t="s">
        <v>22</v>
      </c>
      <c r="D268" s="31">
        <v>485.95</v>
      </c>
      <c r="E268" s="19">
        <v>46054</v>
      </c>
      <c r="F268" s="31">
        <v>2300</v>
      </c>
      <c r="G268" s="19">
        <v>46036</v>
      </c>
      <c r="H268" s="43">
        <v>39</v>
      </c>
      <c r="I268" s="43">
        <v>54</v>
      </c>
      <c r="J268" s="5" t="s">
        <v>656</v>
      </c>
      <c r="K268" s="5" t="s">
        <v>657</v>
      </c>
      <c r="L268" s="55">
        <v>2019</v>
      </c>
      <c r="M268" s="11" t="str">
        <f>HYPERLINK("http://www.onebrief.com", "www.onebrief.com")</f>
        <v>www.onebrief.com</v>
      </c>
      <c r="N268" s="11" t="str">
        <f>HYPERLINK("https://my.pitchbook.com?c=407243-53", "View Company Online")</f>
        <v>View Company Online</v>
      </c>
    </row>
    <row r="269" spans="1:14" x14ac:dyDescent="0.35">
      <c r="A269" s="6" t="s">
        <v>658</v>
      </c>
      <c r="B269" s="6" t="s">
        <v>1192</v>
      </c>
      <c r="C269" s="6" t="s">
        <v>44</v>
      </c>
      <c r="D269" s="32">
        <v>485.08</v>
      </c>
      <c r="E269" s="20">
        <v>45957</v>
      </c>
      <c r="F269" s="32">
        <v>870</v>
      </c>
      <c r="G269" s="20">
        <v>45957</v>
      </c>
      <c r="H269" s="44">
        <v>65</v>
      </c>
      <c r="I269" s="44">
        <v>32</v>
      </c>
      <c r="J269" s="6" t="s">
        <v>659</v>
      </c>
      <c r="K269" s="6" t="s">
        <v>280</v>
      </c>
      <c r="L269" s="56">
        <v>2017</v>
      </c>
      <c r="M269" s="12" t="str">
        <f>HYPERLINK("http://www.ontic.co", "www.ontic.co")</f>
        <v>www.ontic.co</v>
      </c>
      <c r="N269" s="12" t="str">
        <f>HYPERLINK("https://my.pitchbook.com?c=264915-73", "View Company Online")</f>
        <v>View Company Online</v>
      </c>
    </row>
    <row r="270" spans="1:14" x14ac:dyDescent="0.35">
      <c r="A270" s="5" t="s">
        <v>660</v>
      </c>
      <c r="B270" s="6" t="s">
        <v>1192</v>
      </c>
      <c r="C270" s="5" t="s">
        <v>48</v>
      </c>
      <c r="D270" s="31">
        <v>485</v>
      </c>
      <c r="E270" s="19">
        <v>44285</v>
      </c>
      <c r="F270" s="31">
        <v>3100</v>
      </c>
      <c r="G270" s="19">
        <v>44285</v>
      </c>
      <c r="H270" s="43">
        <v>54</v>
      </c>
      <c r="I270" s="43">
        <v>37</v>
      </c>
      <c r="J270" s="5" t="s">
        <v>661</v>
      </c>
      <c r="K270" s="5" t="s">
        <v>438</v>
      </c>
      <c r="L270" s="55">
        <v>2006</v>
      </c>
      <c r="M270" s="11" t="str">
        <f>HYPERLINK("http://www.highradius.com", "www.highradius.com")</f>
        <v>www.highradius.com</v>
      </c>
      <c r="N270" s="11" t="str">
        <f>HYPERLINK("https://my.pitchbook.com?c=127406-44", "View Company Online")</f>
        <v>View Company Online</v>
      </c>
    </row>
    <row r="271" spans="1:14" x14ac:dyDescent="0.35">
      <c r="A271" s="6" t="s">
        <v>662</v>
      </c>
      <c r="B271" s="6" t="s">
        <v>26</v>
      </c>
      <c r="C271" s="6" t="s">
        <v>27</v>
      </c>
      <c r="D271" s="32">
        <v>483</v>
      </c>
      <c r="E271" s="20">
        <v>45722</v>
      </c>
      <c r="F271" s="32">
        <v>1290.52</v>
      </c>
      <c r="G271" s="20">
        <v>45444</v>
      </c>
      <c r="H271" s="44">
        <v>12</v>
      </c>
      <c r="I271" s="44">
        <v>67</v>
      </c>
      <c r="J271" s="6" t="s">
        <v>663</v>
      </c>
      <c r="K271" s="6" t="s">
        <v>664</v>
      </c>
      <c r="L271" s="56">
        <v>2020</v>
      </c>
      <c r="M271" s="12" t="str">
        <f>HYPERLINK("http://www.one.ai", "www.one.ai")</f>
        <v>www.one.ai</v>
      </c>
      <c r="N271" s="12" t="str">
        <f>HYPERLINK("https://my.pitchbook.com?c=467907-31", "View Company Online")</f>
        <v>View Company Online</v>
      </c>
    </row>
    <row r="272" spans="1:14" x14ac:dyDescent="0.35">
      <c r="A272" s="5" t="s">
        <v>665</v>
      </c>
      <c r="B272" s="5" t="s">
        <v>15</v>
      </c>
      <c r="C272" s="5" t="s">
        <v>156</v>
      </c>
      <c r="D272" s="31">
        <v>481</v>
      </c>
      <c r="E272" s="19">
        <v>46051</v>
      </c>
      <c r="F272" s="31">
        <v>4500</v>
      </c>
      <c r="G272" s="19">
        <v>46051</v>
      </c>
      <c r="H272" s="43">
        <v>30</v>
      </c>
      <c r="I272" s="43">
        <v>62</v>
      </c>
      <c r="J272" s="5" t="s">
        <v>666</v>
      </c>
      <c r="K272" s="5" t="s">
        <v>18</v>
      </c>
      <c r="L272" s="55">
        <v>2023</v>
      </c>
      <c r="M272" s="11" t="str">
        <f>HYPERLINK("http://www.decagon.ai", "www.decagon.ai")</f>
        <v>www.decagon.ai</v>
      </c>
      <c r="N272" s="11" t="str">
        <f>HYPERLINK("https://my.pitchbook.com?c=539828-92", "View Company Online")</f>
        <v>View Company Online</v>
      </c>
    </row>
    <row r="273" spans="1:14" x14ac:dyDescent="0.35">
      <c r="A273" s="6" t="s">
        <v>667</v>
      </c>
      <c r="B273" s="6" t="s">
        <v>1192</v>
      </c>
      <c r="C273" s="6" t="s">
        <v>31</v>
      </c>
      <c r="D273" s="32">
        <v>476.71</v>
      </c>
      <c r="E273" s="20">
        <v>45863</v>
      </c>
      <c r="F273" s="32">
        <v>1991.56</v>
      </c>
      <c r="G273" s="20">
        <v>44454</v>
      </c>
      <c r="H273" s="44">
        <v>16</v>
      </c>
      <c r="I273" s="44">
        <v>69</v>
      </c>
      <c r="J273" s="6" t="s">
        <v>668</v>
      </c>
      <c r="K273" s="6" t="s">
        <v>669</v>
      </c>
      <c r="L273" s="56">
        <v>2012</v>
      </c>
      <c r="M273" s="12" t="str">
        <f>HYPERLINK("http://www.smartnews.com", "www.smartnews.com")</f>
        <v>www.smartnews.com</v>
      </c>
      <c r="N273" s="12" t="str">
        <f>HYPERLINK("https://my.pitchbook.com?c=65829-61", "View Company Online")</f>
        <v>View Company Online</v>
      </c>
    </row>
    <row r="274" spans="1:14" x14ac:dyDescent="0.35">
      <c r="A274" s="5" t="s">
        <v>670</v>
      </c>
      <c r="B274" s="5" t="s">
        <v>15</v>
      </c>
      <c r="C274" s="5" t="s">
        <v>16</v>
      </c>
      <c r="D274" s="31">
        <v>475</v>
      </c>
      <c r="E274" s="19">
        <v>46000</v>
      </c>
      <c r="F274" s="31">
        <v>4500</v>
      </c>
      <c r="G274" s="19">
        <v>46000</v>
      </c>
      <c r="H274" s="43" t="s">
        <v>24</v>
      </c>
      <c r="I274" s="43" t="s">
        <v>24</v>
      </c>
      <c r="J274" s="5" t="s">
        <v>671</v>
      </c>
      <c r="K274" s="5" t="s">
        <v>18</v>
      </c>
      <c r="L274" s="55">
        <v>2025</v>
      </c>
      <c r="M274" s="11" t="str">
        <f>HYPERLINK("http://www.unconv.ai", "www.unconv.ai")</f>
        <v>www.unconv.ai</v>
      </c>
      <c r="N274" s="11" t="str">
        <f>HYPERLINK("https://my.pitchbook.com?c=1130420-71", "View Company Online")</f>
        <v>View Company Online</v>
      </c>
    </row>
    <row r="275" spans="1:14" x14ac:dyDescent="0.35">
      <c r="A275" s="6" t="s">
        <v>672</v>
      </c>
      <c r="B275" s="6" t="s">
        <v>1192</v>
      </c>
      <c r="C275" s="6" t="s">
        <v>36</v>
      </c>
      <c r="D275" s="32">
        <v>474.11</v>
      </c>
      <c r="E275" s="20">
        <v>46090</v>
      </c>
      <c r="F275" s="32">
        <v>1000</v>
      </c>
      <c r="G275" s="20">
        <v>46049</v>
      </c>
      <c r="H275" s="44">
        <v>4</v>
      </c>
      <c r="I275" s="44">
        <v>43</v>
      </c>
      <c r="J275" s="6" t="s">
        <v>673</v>
      </c>
      <c r="K275" s="6" t="s">
        <v>18</v>
      </c>
      <c r="L275" s="56">
        <v>2018</v>
      </c>
      <c r="M275" s="12" t="str">
        <f>HYPERLINK("http://www.span.io", "www.span.io")</f>
        <v>www.span.io</v>
      </c>
      <c r="N275" s="12" t="str">
        <f>HYPERLINK("https://my.pitchbook.com?c=234985-42", "View Company Online")</f>
        <v>View Company Online</v>
      </c>
    </row>
    <row r="276" spans="1:14" x14ac:dyDescent="0.35">
      <c r="A276" s="5" t="s">
        <v>674</v>
      </c>
      <c r="B276" s="5" t="s">
        <v>39</v>
      </c>
      <c r="C276" s="5" t="s">
        <v>70</v>
      </c>
      <c r="D276" s="31">
        <v>473.36</v>
      </c>
      <c r="E276" s="19">
        <v>45315</v>
      </c>
      <c r="F276" s="31">
        <v>423.67</v>
      </c>
      <c r="G276" s="19">
        <v>45204</v>
      </c>
      <c r="H276" s="43">
        <v>69</v>
      </c>
      <c r="I276" s="43">
        <v>2</v>
      </c>
      <c r="J276" s="5" t="s">
        <v>675</v>
      </c>
      <c r="K276" s="5" t="s">
        <v>676</v>
      </c>
      <c r="L276" s="55">
        <v>2014</v>
      </c>
      <c r="M276" s="11" t="str">
        <f>HYPERLINK("http://www.kaodata.com", "www.kaodata.com")</f>
        <v>www.kaodata.com</v>
      </c>
      <c r="N276" s="11" t="str">
        <f>HYPERLINK("https://my.pitchbook.com?c=170483-32", "View Company Online")</f>
        <v>View Company Online</v>
      </c>
    </row>
    <row r="277" spans="1:14" x14ac:dyDescent="0.35">
      <c r="A277" s="6" t="s">
        <v>677</v>
      </c>
      <c r="B277" s="6" t="s">
        <v>1192</v>
      </c>
      <c r="C277" s="6" t="s">
        <v>31</v>
      </c>
      <c r="D277" s="32">
        <v>472.78</v>
      </c>
      <c r="E277" s="20">
        <v>46077</v>
      </c>
      <c r="F277" s="32">
        <v>1443.16</v>
      </c>
      <c r="G277" s="20">
        <v>46077</v>
      </c>
      <c r="H277" s="44" t="s">
        <v>24</v>
      </c>
      <c r="I277" s="44" t="s">
        <v>24</v>
      </c>
      <c r="J277" s="6" t="s">
        <v>678</v>
      </c>
      <c r="K277" s="6" t="s">
        <v>34</v>
      </c>
      <c r="L277" s="56">
        <v>2024</v>
      </c>
      <c r="M277" s="12" t="str">
        <f>HYPERLINK("http://www.spirit-ai.com", "www.spirit-ai.com")</f>
        <v>www.spirit-ai.com</v>
      </c>
      <c r="N277" s="12" t="str">
        <f>HYPERLINK("https://my.pitchbook.com?c=591051-25", "View Company Online")</f>
        <v>View Company Online</v>
      </c>
    </row>
    <row r="278" spans="1:14" x14ac:dyDescent="0.35">
      <c r="A278" s="5" t="s">
        <v>679</v>
      </c>
      <c r="B278" s="5" t="s">
        <v>39</v>
      </c>
      <c r="C278" s="5" t="s">
        <v>40</v>
      </c>
      <c r="D278" s="31">
        <v>468.56</v>
      </c>
      <c r="E278" s="19">
        <v>46084</v>
      </c>
      <c r="F278" s="31">
        <v>1362.71</v>
      </c>
      <c r="G278" s="19">
        <v>45930</v>
      </c>
      <c r="H278" s="43">
        <v>10</v>
      </c>
      <c r="I278" s="43">
        <v>88</v>
      </c>
      <c r="J278" s="5" t="s">
        <v>680</v>
      </c>
      <c r="K278" s="5" t="s">
        <v>681</v>
      </c>
      <c r="L278" s="55">
        <v>2020</v>
      </c>
      <c r="M278" s="11" t="str">
        <f>HYPERLINK("http://www.rebellions.ai", "www.rebellions.ai")</f>
        <v>www.rebellions.ai</v>
      </c>
      <c r="N278" s="11" t="str">
        <f>HYPERLINK("https://my.pitchbook.com?c=454235-23", "View Company Online")</f>
        <v>View Company Online</v>
      </c>
    </row>
    <row r="279" spans="1:14" x14ac:dyDescent="0.35">
      <c r="A279" s="6" t="s">
        <v>682</v>
      </c>
      <c r="B279" s="6" t="s">
        <v>1192</v>
      </c>
      <c r="C279" s="6" t="s">
        <v>159</v>
      </c>
      <c r="D279" s="32">
        <v>467</v>
      </c>
      <c r="E279" s="20">
        <v>45792</v>
      </c>
      <c r="F279" s="32">
        <v>1600</v>
      </c>
      <c r="G279" s="20">
        <v>45792</v>
      </c>
      <c r="H279" s="44">
        <v>12</v>
      </c>
      <c r="I279" s="44">
        <v>82</v>
      </c>
      <c r="J279" s="6" t="s">
        <v>683</v>
      </c>
      <c r="K279" s="6" t="s">
        <v>76</v>
      </c>
      <c r="L279" s="56">
        <v>2020</v>
      </c>
      <c r="M279" s="12" t="str">
        <f>HYPERLINK("http://www.pathos.com", "www.pathos.com")</f>
        <v>www.pathos.com</v>
      </c>
      <c r="N279" s="12" t="str">
        <f>HYPERLINK("https://my.pitchbook.com?c=512425-00", "View Company Online")</f>
        <v>View Company Online</v>
      </c>
    </row>
    <row r="280" spans="1:14" x14ac:dyDescent="0.35">
      <c r="A280" s="5" t="s">
        <v>684</v>
      </c>
      <c r="B280" s="6" t="s">
        <v>1192</v>
      </c>
      <c r="C280" s="5" t="s">
        <v>159</v>
      </c>
      <c r="D280" s="31">
        <v>466.99</v>
      </c>
      <c r="E280" s="19" t="s">
        <v>24</v>
      </c>
      <c r="F280" s="31">
        <v>3300</v>
      </c>
      <c r="G280" s="19">
        <v>45504</v>
      </c>
      <c r="H280" s="43">
        <v>7</v>
      </c>
      <c r="I280" s="43">
        <v>91</v>
      </c>
      <c r="J280" s="5" t="s">
        <v>685</v>
      </c>
      <c r="K280" s="5" t="s">
        <v>90</v>
      </c>
      <c r="L280" s="55">
        <v>2016</v>
      </c>
      <c r="M280" s="11" t="str">
        <f>HYPERLINK("http://www.springhealth.com", "www.springhealth.com")</f>
        <v>www.springhealth.com</v>
      </c>
      <c r="N280" s="11" t="str">
        <f>HYPERLINK("https://my.pitchbook.com?c=167351-14", "View Company Online")</f>
        <v>View Company Online</v>
      </c>
    </row>
    <row r="281" spans="1:14" x14ac:dyDescent="0.35">
      <c r="A281" s="6" t="s">
        <v>686</v>
      </c>
      <c r="B281" s="6" t="s">
        <v>1192</v>
      </c>
      <c r="C281" s="6" t="s">
        <v>159</v>
      </c>
      <c r="D281" s="32">
        <v>465.87</v>
      </c>
      <c r="E281" s="20">
        <v>46009</v>
      </c>
      <c r="F281" s="32">
        <v>725</v>
      </c>
      <c r="G281" s="20">
        <v>45446</v>
      </c>
      <c r="H281" s="44">
        <v>12</v>
      </c>
      <c r="I281" s="44">
        <v>86</v>
      </c>
      <c r="J281" s="6" t="s">
        <v>687</v>
      </c>
      <c r="K281" s="6" t="s">
        <v>83</v>
      </c>
      <c r="L281" s="56">
        <v>2019</v>
      </c>
      <c r="M281" s="12" t="str">
        <f>HYPERLINK("http://www.delfidiagnostics.com", "www.delfidiagnostics.com")</f>
        <v>www.delfidiagnostics.com</v>
      </c>
      <c r="N281" s="12" t="str">
        <f>HYPERLINK("https://my.pitchbook.com?c=431341-84", "View Company Online")</f>
        <v>View Company Online</v>
      </c>
    </row>
    <row r="282" spans="1:14" x14ac:dyDescent="0.35">
      <c r="A282" s="5" t="s">
        <v>688</v>
      </c>
      <c r="B282" s="6" t="s">
        <v>1192</v>
      </c>
      <c r="C282" s="5" t="s">
        <v>159</v>
      </c>
      <c r="D282" s="31">
        <v>461.54</v>
      </c>
      <c r="E282" s="19">
        <v>45856</v>
      </c>
      <c r="F282" s="31">
        <v>1200</v>
      </c>
      <c r="G282" s="19">
        <v>44609</v>
      </c>
      <c r="H282" s="43" t="s">
        <v>24</v>
      </c>
      <c r="I282" s="43" t="s">
        <v>24</v>
      </c>
      <c r="J282" s="5" t="s">
        <v>689</v>
      </c>
      <c r="K282" s="5" t="s">
        <v>516</v>
      </c>
      <c r="L282" s="55">
        <v>2012</v>
      </c>
      <c r="M282" s="11" t="str">
        <f>HYPERLINK("http://www.synthego.com", "www.synthego.com")</f>
        <v>www.synthego.com</v>
      </c>
      <c r="N282" s="11" t="str">
        <f>HYPERLINK("https://my.pitchbook.com?c=57826-09", "View Company Online")</f>
        <v>View Company Online</v>
      </c>
    </row>
    <row r="283" spans="1:14" x14ac:dyDescent="0.35">
      <c r="A283" s="6" t="s">
        <v>690</v>
      </c>
      <c r="B283" s="6" t="s">
        <v>15</v>
      </c>
      <c r="C283" s="6" t="s">
        <v>22</v>
      </c>
      <c r="D283" s="32">
        <v>458.43</v>
      </c>
      <c r="E283" s="20">
        <v>46008</v>
      </c>
      <c r="F283" s="32">
        <v>1142.98</v>
      </c>
      <c r="G283" s="20">
        <v>46008</v>
      </c>
      <c r="H283" s="44">
        <v>32</v>
      </c>
      <c r="I283" s="44">
        <v>64</v>
      </c>
      <c r="J283" s="6" t="s">
        <v>691</v>
      </c>
      <c r="K283" s="6" t="s">
        <v>18</v>
      </c>
      <c r="L283" s="56">
        <v>2014</v>
      </c>
      <c r="M283" s="12" t="str">
        <f>HYPERLINK("http://www.moengage.com", "www.moengage.com")</f>
        <v>www.moengage.com</v>
      </c>
      <c r="N283" s="12" t="str">
        <f>HYPERLINK("https://my.pitchbook.com?c=94063-60", "View Company Online")</f>
        <v>View Company Online</v>
      </c>
    </row>
    <row r="284" spans="1:14" x14ac:dyDescent="0.35">
      <c r="A284" s="5" t="s">
        <v>692</v>
      </c>
      <c r="B284" s="5" t="s">
        <v>15</v>
      </c>
      <c r="C284" s="5" t="s">
        <v>16</v>
      </c>
      <c r="D284" s="31">
        <v>456.85</v>
      </c>
      <c r="E284" s="19">
        <v>45992</v>
      </c>
      <c r="F284" s="31">
        <v>4000</v>
      </c>
      <c r="G284" s="19">
        <v>45992</v>
      </c>
      <c r="H284" s="43">
        <v>24</v>
      </c>
      <c r="I284" s="43">
        <v>64</v>
      </c>
      <c r="J284" s="5" t="s">
        <v>693</v>
      </c>
      <c r="K284" s="5" t="s">
        <v>694</v>
      </c>
      <c r="L284" s="55">
        <v>2024</v>
      </c>
      <c r="M284" s="11" t="str">
        <f>HYPERLINK("http://www.bfl.ai", "www.bfl.ai")</f>
        <v>www.bfl.ai</v>
      </c>
      <c r="N284" s="11" t="str">
        <f>HYPERLINK("https://my.pitchbook.com?c=616537-99", "View Company Online")</f>
        <v>View Company Online</v>
      </c>
    </row>
    <row r="285" spans="1:14" x14ac:dyDescent="0.35">
      <c r="A285" s="6" t="s">
        <v>695</v>
      </c>
      <c r="B285" s="6" t="s">
        <v>1192</v>
      </c>
      <c r="C285" s="6" t="s">
        <v>31</v>
      </c>
      <c r="D285" s="32">
        <v>453</v>
      </c>
      <c r="E285" s="20">
        <v>45987</v>
      </c>
      <c r="F285" s="32">
        <v>990</v>
      </c>
      <c r="G285" s="20">
        <v>45987</v>
      </c>
      <c r="H285" s="44">
        <v>46</v>
      </c>
      <c r="I285" s="44">
        <v>35</v>
      </c>
      <c r="J285" s="6" t="s">
        <v>696</v>
      </c>
      <c r="K285" s="6" t="s">
        <v>697</v>
      </c>
      <c r="L285" s="56">
        <v>2019</v>
      </c>
      <c r="M285" s="12" t="str">
        <f>HYPERLINK("http://www.highlandfleets.com", "www.highlandfleets.com")</f>
        <v>www.highlandfleets.com</v>
      </c>
      <c r="N285" s="12" t="str">
        <f>HYPERLINK("https://my.pitchbook.com?c=442432-99", "View Company Online")</f>
        <v>View Company Online</v>
      </c>
    </row>
    <row r="286" spans="1:14" x14ac:dyDescent="0.35">
      <c r="A286" s="5" t="s">
        <v>698</v>
      </c>
      <c r="B286" s="6" t="s">
        <v>1192</v>
      </c>
      <c r="C286" s="5" t="s">
        <v>48</v>
      </c>
      <c r="D286" s="31">
        <v>450.6</v>
      </c>
      <c r="E286" s="19">
        <v>46030</v>
      </c>
      <c r="F286" s="31">
        <v>267.5</v>
      </c>
      <c r="G286" s="19">
        <v>43525</v>
      </c>
      <c r="H286" s="43" t="s">
        <v>24</v>
      </c>
      <c r="I286" s="43" t="s">
        <v>24</v>
      </c>
      <c r="J286" s="5" t="s">
        <v>699</v>
      </c>
      <c r="K286" s="5" t="s">
        <v>700</v>
      </c>
      <c r="L286" s="55">
        <v>2015</v>
      </c>
      <c r="M286" s="11" t="str">
        <f>HYPERLINK("http://www.branchapp.in", "www.branchapp.in")</f>
        <v>www.branchapp.in</v>
      </c>
      <c r="N286" s="11" t="str">
        <f>HYPERLINK("https://my.pitchbook.com?c=112793-41", "View Company Online")</f>
        <v>View Company Online</v>
      </c>
    </row>
    <row r="287" spans="1:14" x14ac:dyDescent="0.35">
      <c r="A287" s="6" t="s">
        <v>701</v>
      </c>
      <c r="B287" s="6" t="s">
        <v>15</v>
      </c>
      <c r="C287" s="6" t="s">
        <v>156</v>
      </c>
      <c r="D287" s="32">
        <v>446.35</v>
      </c>
      <c r="E287" s="20">
        <v>45861</v>
      </c>
      <c r="F287" s="32">
        <v>1540</v>
      </c>
      <c r="G287" s="20">
        <v>44405</v>
      </c>
      <c r="H287" s="44">
        <v>12</v>
      </c>
      <c r="I287" s="44">
        <v>86</v>
      </c>
      <c r="J287" s="6" t="s">
        <v>702</v>
      </c>
      <c r="K287" s="6" t="s">
        <v>180</v>
      </c>
      <c r="L287" s="56">
        <v>2004</v>
      </c>
      <c r="M287" s="12" t="str">
        <f>HYPERLINK("http://www.gupshup.ai", "www.gupshup.ai")</f>
        <v>www.gupshup.ai</v>
      </c>
      <c r="N287" s="12" t="str">
        <f>HYPERLINK("https://my.pitchbook.com?c=55105-75", "View Company Online")</f>
        <v>View Company Online</v>
      </c>
    </row>
    <row r="288" spans="1:14" x14ac:dyDescent="0.35">
      <c r="A288" s="5" t="s">
        <v>703</v>
      </c>
      <c r="B288" s="5" t="s">
        <v>39</v>
      </c>
      <c r="C288" s="5" t="s">
        <v>40</v>
      </c>
      <c r="D288" s="31">
        <v>446.3</v>
      </c>
      <c r="E288" s="19">
        <v>46087</v>
      </c>
      <c r="F288" s="31">
        <v>2330</v>
      </c>
      <c r="G288" s="19">
        <v>45791</v>
      </c>
      <c r="H288" s="43">
        <v>37</v>
      </c>
      <c r="I288" s="43">
        <v>55</v>
      </c>
      <c r="J288" s="5" t="s">
        <v>704</v>
      </c>
      <c r="K288" s="5" t="s">
        <v>62</v>
      </c>
      <c r="L288" s="55">
        <v>2019</v>
      </c>
      <c r="M288" s="11" t="str">
        <f>HYPERLINK("http://www.d-matrix.ai", "www.d-matrix.ai")</f>
        <v>www.d-matrix.ai</v>
      </c>
      <c r="N288" s="11" t="str">
        <f>HYPERLINK("https://my.pitchbook.com?c=398921-86", "View Company Online")</f>
        <v>View Company Online</v>
      </c>
    </row>
    <row r="289" spans="1:14" x14ac:dyDescent="0.35">
      <c r="A289" s="6" t="s">
        <v>705</v>
      </c>
      <c r="B289" s="6" t="s">
        <v>1192</v>
      </c>
      <c r="C289" s="6" t="s">
        <v>31</v>
      </c>
      <c r="D289" s="32">
        <v>443.57</v>
      </c>
      <c r="E289" s="20">
        <v>46093</v>
      </c>
      <c r="F289" s="32" t="s">
        <v>24</v>
      </c>
      <c r="G289" s="20" t="s">
        <v>24</v>
      </c>
      <c r="H289" s="44" t="s">
        <v>24</v>
      </c>
      <c r="I289" s="44" t="s">
        <v>24</v>
      </c>
      <c r="J289" s="6" t="s">
        <v>706</v>
      </c>
      <c r="K289" s="6" t="s">
        <v>34</v>
      </c>
      <c r="L289" s="56">
        <v>2023</v>
      </c>
      <c r="M289" s="12" t="str">
        <f>HYPERLINK("http://www.aishiai.com", "www.aishiai.com")</f>
        <v>www.aishiai.com</v>
      </c>
      <c r="N289" s="12" t="str">
        <f>HYPERLINK("https://my.pitchbook.com?c=533122-75", "View Company Online")</f>
        <v>View Company Online</v>
      </c>
    </row>
    <row r="290" spans="1:14" x14ac:dyDescent="0.35">
      <c r="A290" s="5" t="s">
        <v>707</v>
      </c>
      <c r="B290" s="5" t="s">
        <v>39</v>
      </c>
      <c r="C290" s="5" t="s">
        <v>40</v>
      </c>
      <c r="D290" s="31">
        <v>442.2</v>
      </c>
      <c r="E290" s="19">
        <v>45904</v>
      </c>
      <c r="F290" s="31">
        <v>35.700000000000003</v>
      </c>
      <c r="G290" s="19">
        <v>43133</v>
      </c>
      <c r="H290" s="43">
        <v>56</v>
      </c>
      <c r="I290" s="43">
        <v>29</v>
      </c>
      <c r="J290" s="5" t="s">
        <v>708</v>
      </c>
      <c r="K290" s="5" t="s">
        <v>122</v>
      </c>
      <c r="L290" s="55">
        <v>2017</v>
      </c>
      <c r="M290" s="11" t="str">
        <f>HYPERLINK("http://www.lightelligence.ai", "www.lightelligence.ai")</f>
        <v>www.lightelligence.ai</v>
      </c>
      <c r="N290" s="11" t="str">
        <f>HYPERLINK("https://my.pitchbook.com?c=225236-89", "View Company Online")</f>
        <v>View Company Online</v>
      </c>
    </row>
    <row r="291" spans="1:14" x14ac:dyDescent="0.35">
      <c r="A291" s="6" t="s">
        <v>709</v>
      </c>
      <c r="B291" s="6" t="s">
        <v>1192</v>
      </c>
      <c r="C291" s="6" t="s">
        <v>48</v>
      </c>
      <c r="D291" s="32">
        <v>440.74</v>
      </c>
      <c r="E291" s="20">
        <v>45364</v>
      </c>
      <c r="F291" s="32">
        <v>400.57</v>
      </c>
      <c r="G291" s="20">
        <v>44617</v>
      </c>
      <c r="H291" s="44">
        <v>16</v>
      </c>
      <c r="I291" s="44">
        <v>81</v>
      </c>
      <c r="J291" s="6" t="s">
        <v>24</v>
      </c>
      <c r="K291" s="6" t="s">
        <v>700</v>
      </c>
      <c r="L291" s="56">
        <v>2008</v>
      </c>
      <c r="M291" s="12" t="str">
        <f>HYPERLINK("http://www.perfios.ai", "www.perfios.ai")</f>
        <v>www.perfios.ai</v>
      </c>
      <c r="N291" s="12" t="str">
        <f>HYPERLINK("https://my.pitchbook.com?c=88468-21", "View Company Online")</f>
        <v>View Company Online</v>
      </c>
    </row>
    <row r="292" spans="1:14" x14ac:dyDescent="0.35">
      <c r="A292" s="5" t="s">
        <v>710</v>
      </c>
      <c r="B292" s="6" t="s">
        <v>1192</v>
      </c>
      <c r="C292" s="5" t="s">
        <v>159</v>
      </c>
      <c r="D292" s="31">
        <v>440.54</v>
      </c>
      <c r="E292" s="19">
        <v>45496</v>
      </c>
      <c r="F292" s="31">
        <v>938.36</v>
      </c>
      <c r="G292" s="19">
        <v>45496</v>
      </c>
      <c r="H292" s="43">
        <v>5</v>
      </c>
      <c r="I292" s="43">
        <v>93</v>
      </c>
      <c r="J292" s="5" t="s">
        <v>711</v>
      </c>
      <c r="K292" s="5" t="s">
        <v>90</v>
      </c>
      <c r="L292" s="55">
        <v>2016</v>
      </c>
      <c r="M292" s="11" t="str">
        <f>HYPERLINK("http://www.khealth.com", "www.khealth.com")</f>
        <v>www.khealth.com</v>
      </c>
      <c r="N292" s="11" t="str">
        <f>HYPERLINK("https://my.pitchbook.com?c=168227-92", "View Company Online")</f>
        <v>View Company Online</v>
      </c>
    </row>
    <row r="293" spans="1:14" x14ac:dyDescent="0.35">
      <c r="A293" s="6" t="s">
        <v>712</v>
      </c>
      <c r="B293" s="6" t="s">
        <v>1192</v>
      </c>
      <c r="C293" s="6" t="s">
        <v>44</v>
      </c>
      <c r="D293" s="32">
        <v>439.65</v>
      </c>
      <c r="E293" s="20">
        <v>44849</v>
      </c>
      <c r="F293" s="32">
        <v>2297.88</v>
      </c>
      <c r="G293" s="20">
        <v>44180</v>
      </c>
      <c r="H293" s="44" t="s">
        <v>24</v>
      </c>
      <c r="I293" s="44" t="s">
        <v>24</v>
      </c>
      <c r="J293" s="6" t="s">
        <v>713</v>
      </c>
      <c r="K293" s="6" t="s">
        <v>102</v>
      </c>
      <c r="L293" s="56">
        <v>2006</v>
      </c>
      <c r="M293" s="12" t="str">
        <f>HYPERLINK("http://www.zbj.com", "www.zbj.com")</f>
        <v>www.zbj.com</v>
      </c>
      <c r="N293" s="12" t="str">
        <f>HYPERLINK("https://my.pitchbook.com?c=62354-98", "View Company Online")</f>
        <v>View Company Online</v>
      </c>
    </row>
    <row r="294" spans="1:14" x14ac:dyDescent="0.35">
      <c r="A294" s="5" t="s">
        <v>714</v>
      </c>
      <c r="B294" s="6" t="s">
        <v>1192</v>
      </c>
      <c r="C294" s="5" t="s">
        <v>31</v>
      </c>
      <c r="D294" s="31">
        <v>439.08</v>
      </c>
      <c r="E294" s="19">
        <v>45658</v>
      </c>
      <c r="F294" s="31">
        <v>1010.04</v>
      </c>
      <c r="G294" s="19">
        <v>44712</v>
      </c>
      <c r="H294" s="43">
        <v>64</v>
      </c>
      <c r="I294" s="43">
        <v>34</v>
      </c>
      <c r="J294" s="5" t="s">
        <v>715</v>
      </c>
      <c r="K294" s="5" t="s">
        <v>486</v>
      </c>
      <c r="L294" s="55">
        <v>2012</v>
      </c>
      <c r="M294" s="11" t="str">
        <f>HYPERLINK("http://www.ispot.tv", "www.ispot.tv")</f>
        <v>www.ispot.tv</v>
      </c>
      <c r="N294" s="11" t="str">
        <f>HYPERLINK("https://my.pitchbook.com?c=54801-28", "View Company Online")</f>
        <v>View Company Online</v>
      </c>
    </row>
    <row r="295" spans="1:14" x14ac:dyDescent="0.35">
      <c r="A295" s="6" t="s">
        <v>716</v>
      </c>
      <c r="B295" s="6" t="s">
        <v>1192</v>
      </c>
      <c r="C295" s="6" t="s">
        <v>31</v>
      </c>
      <c r="D295" s="32">
        <v>436.65</v>
      </c>
      <c r="E295" s="20">
        <v>44910</v>
      </c>
      <c r="F295" s="32">
        <v>356</v>
      </c>
      <c r="G295" s="20">
        <v>44910</v>
      </c>
      <c r="H295" s="44">
        <v>85</v>
      </c>
      <c r="I295" s="44">
        <v>7</v>
      </c>
      <c r="J295" s="6" t="s">
        <v>717</v>
      </c>
      <c r="K295" s="6" t="s">
        <v>90</v>
      </c>
      <c r="L295" s="56">
        <v>2020</v>
      </c>
      <c r="M295" s="12" t="str">
        <f>HYPERLINK("http://www.getbalance.com", "www.getbalance.com")</f>
        <v>www.getbalance.com</v>
      </c>
      <c r="N295" s="12" t="str">
        <f>HYPERLINK("https://my.pitchbook.com?c=459130-42", "View Company Online")</f>
        <v>View Company Online</v>
      </c>
    </row>
    <row r="296" spans="1:14" x14ac:dyDescent="0.35">
      <c r="A296" s="5" t="s">
        <v>718</v>
      </c>
      <c r="B296" s="6" t="s">
        <v>1192</v>
      </c>
      <c r="C296" s="5" t="s">
        <v>36</v>
      </c>
      <c r="D296" s="31">
        <v>431.75</v>
      </c>
      <c r="E296" s="19">
        <v>44907</v>
      </c>
      <c r="F296" s="31">
        <v>1500</v>
      </c>
      <c r="G296" s="19">
        <v>44907</v>
      </c>
      <c r="H296" s="43">
        <v>3</v>
      </c>
      <c r="I296" s="43">
        <v>93</v>
      </c>
      <c r="J296" s="5" t="s">
        <v>719</v>
      </c>
      <c r="K296" s="5" t="s">
        <v>720</v>
      </c>
      <c r="L296" s="55">
        <v>2015</v>
      </c>
      <c r="M296" s="11" t="str">
        <f>HYPERLINK("http://www.notco.ai", "www.notco.ai")</f>
        <v>www.notco.ai</v>
      </c>
      <c r="N296" s="11" t="str">
        <f>HYPERLINK("https://my.pitchbook.com?c=168412-15", "View Company Online")</f>
        <v>View Company Online</v>
      </c>
    </row>
    <row r="297" spans="1:14" x14ac:dyDescent="0.35">
      <c r="A297" s="6" t="s">
        <v>721</v>
      </c>
      <c r="B297" s="6" t="s">
        <v>15</v>
      </c>
      <c r="C297" s="6" t="s">
        <v>22</v>
      </c>
      <c r="D297" s="32">
        <v>431.12</v>
      </c>
      <c r="E297" s="20">
        <v>45796</v>
      </c>
      <c r="F297" s="32">
        <v>3350</v>
      </c>
      <c r="G297" s="20">
        <v>44593</v>
      </c>
      <c r="H297" s="44">
        <v>66</v>
      </c>
      <c r="I297" s="44">
        <v>1</v>
      </c>
      <c r="J297" s="6" t="s">
        <v>722</v>
      </c>
      <c r="K297" s="6" t="s">
        <v>122</v>
      </c>
      <c r="L297" s="56">
        <v>2017</v>
      </c>
      <c r="M297" s="12" t="str">
        <f>HYPERLINK("http://www.starburst.io", "www.starburst.io")</f>
        <v>www.starburst.io</v>
      </c>
      <c r="N297" s="12" t="str">
        <f>HYPERLINK("https://my.pitchbook.com?c=232498-72", "View Company Online")</f>
        <v>View Company Online</v>
      </c>
    </row>
    <row r="298" spans="1:14" x14ac:dyDescent="0.35">
      <c r="A298" s="5" t="s">
        <v>723</v>
      </c>
      <c r="B298" s="5" t="s">
        <v>15</v>
      </c>
      <c r="C298" s="5" t="s">
        <v>22</v>
      </c>
      <c r="D298" s="31">
        <v>430.63</v>
      </c>
      <c r="E298" s="19">
        <v>44790</v>
      </c>
      <c r="F298" s="31">
        <v>1200</v>
      </c>
      <c r="G298" s="19">
        <v>44790</v>
      </c>
      <c r="H298" s="43">
        <v>31</v>
      </c>
      <c r="I298" s="43">
        <v>66</v>
      </c>
      <c r="J298" s="5" t="s">
        <v>724</v>
      </c>
      <c r="K298" s="5" t="s">
        <v>516</v>
      </c>
      <c r="L298" s="55">
        <v>2012</v>
      </c>
      <c r="M298" s="11" t="str">
        <f>HYPERLINK("http://www.bigpanda.io", "www.bigpanda.io")</f>
        <v>www.bigpanda.io</v>
      </c>
      <c r="N298" s="11" t="str">
        <f>HYPERLINK("https://my.pitchbook.com?c=60895-27", "View Company Online")</f>
        <v>View Company Online</v>
      </c>
    </row>
    <row r="299" spans="1:14" x14ac:dyDescent="0.35">
      <c r="A299" s="6" t="s">
        <v>725</v>
      </c>
      <c r="B299" s="6" t="s">
        <v>15</v>
      </c>
      <c r="C299" s="6" t="s">
        <v>22</v>
      </c>
      <c r="D299" s="32">
        <v>429.62</v>
      </c>
      <c r="E299" s="20" t="s">
        <v>24</v>
      </c>
      <c r="F299" s="32">
        <v>1903.06</v>
      </c>
      <c r="G299" s="20">
        <v>44679</v>
      </c>
      <c r="H299" s="44">
        <v>32</v>
      </c>
      <c r="I299" s="44">
        <v>51</v>
      </c>
      <c r="J299" s="6" t="s">
        <v>726</v>
      </c>
      <c r="K299" s="6" t="s">
        <v>68</v>
      </c>
      <c r="L299" s="56">
        <v>2016</v>
      </c>
      <c r="M299" s="12" t="str">
        <f>HYPERLINK("http://www.multiverse.io", "www.multiverse.io")</f>
        <v>www.multiverse.io</v>
      </c>
      <c r="N299" s="12" t="str">
        <f>HYPERLINK("https://my.pitchbook.com?c=232702-39", "View Company Online")</f>
        <v>View Company Online</v>
      </c>
    </row>
    <row r="300" spans="1:14" x14ac:dyDescent="0.35">
      <c r="A300" s="5" t="s">
        <v>727</v>
      </c>
      <c r="B300" s="5" t="s">
        <v>39</v>
      </c>
      <c r="C300" s="5" t="s">
        <v>40</v>
      </c>
      <c r="D300" s="31">
        <v>427.73</v>
      </c>
      <c r="E300" s="19">
        <v>46013</v>
      </c>
      <c r="F300" s="31" t="s">
        <v>24</v>
      </c>
      <c r="G300" s="19" t="s">
        <v>24</v>
      </c>
      <c r="H300" s="43">
        <v>80</v>
      </c>
      <c r="I300" s="43">
        <v>18</v>
      </c>
      <c r="J300" s="5" t="s">
        <v>728</v>
      </c>
      <c r="K300" s="5" t="s">
        <v>729</v>
      </c>
      <c r="L300" s="55">
        <v>2021</v>
      </c>
      <c r="M300" s="11" t="str">
        <f>HYPERLINK("http://www.axelera.ai", "www.axelera.ai")</f>
        <v>www.axelera.ai</v>
      </c>
      <c r="N300" s="11" t="str">
        <f>HYPERLINK("https://my.pitchbook.com?c=472390-30", "View Company Online")</f>
        <v>View Company Online</v>
      </c>
    </row>
    <row r="301" spans="1:14" x14ac:dyDescent="0.35">
      <c r="A301" s="6" t="s">
        <v>730</v>
      </c>
      <c r="B301" s="6" t="s">
        <v>15</v>
      </c>
      <c r="C301" s="6" t="s">
        <v>193</v>
      </c>
      <c r="D301" s="32">
        <v>427.5</v>
      </c>
      <c r="E301" s="20">
        <v>46030</v>
      </c>
      <c r="F301" s="32">
        <v>1000</v>
      </c>
      <c r="G301" s="20">
        <v>46030</v>
      </c>
      <c r="H301" s="44" t="s">
        <v>24</v>
      </c>
      <c r="I301" s="44" t="s">
        <v>24</v>
      </c>
      <c r="J301" s="6" t="s">
        <v>731</v>
      </c>
      <c r="K301" s="6" t="s">
        <v>34</v>
      </c>
      <c r="L301" s="56">
        <v>2017</v>
      </c>
      <c r="M301" s="12" t="str">
        <f>HYPERLINK("http://www.xreal.com", "www.xreal.com")</f>
        <v>www.xreal.com</v>
      </c>
      <c r="N301" s="12" t="str">
        <f>HYPERLINK("https://my.pitchbook.com?c=222297-94", "View Company Online")</f>
        <v>View Company Online</v>
      </c>
    </row>
    <row r="302" spans="1:14" x14ac:dyDescent="0.35">
      <c r="A302" s="5" t="s">
        <v>732</v>
      </c>
      <c r="B302" s="6" t="s">
        <v>1192</v>
      </c>
      <c r="C302" s="5" t="s">
        <v>48</v>
      </c>
      <c r="D302" s="31">
        <v>427.35</v>
      </c>
      <c r="E302" s="19">
        <v>45778</v>
      </c>
      <c r="F302" s="31">
        <v>8000</v>
      </c>
      <c r="G302" s="19">
        <v>44714</v>
      </c>
      <c r="H302" s="43">
        <v>33</v>
      </c>
      <c r="I302" s="43">
        <v>64</v>
      </c>
      <c r="J302" s="5" t="s">
        <v>733</v>
      </c>
      <c r="K302" s="5" t="s">
        <v>197</v>
      </c>
      <c r="L302" s="55" t="s">
        <v>24</v>
      </c>
      <c r="M302" s="11" t="str">
        <f>HYPERLINK("http://www.falconx.io", "www.falconx.io")</f>
        <v>www.falconx.io</v>
      </c>
      <c r="N302" s="11" t="str">
        <f>HYPERLINK("https://my.pitchbook.com?c=234400-24", "View Company Online")</f>
        <v>View Company Online</v>
      </c>
    </row>
    <row r="303" spans="1:14" x14ac:dyDescent="0.35">
      <c r="A303" s="6" t="s">
        <v>734</v>
      </c>
      <c r="B303" s="6" t="s">
        <v>1192</v>
      </c>
      <c r="C303" s="6" t="s">
        <v>44</v>
      </c>
      <c r="D303" s="32">
        <v>421.2</v>
      </c>
      <c r="E303" s="20">
        <v>44301</v>
      </c>
      <c r="F303" s="32">
        <v>1382.41</v>
      </c>
      <c r="G303" s="20">
        <v>44301</v>
      </c>
      <c r="H303" s="44">
        <v>12</v>
      </c>
      <c r="I303" s="44">
        <v>80</v>
      </c>
      <c r="J303" s="6" t="s">
        <v>735</v>
      </c>
      <c r="K303" s="6" t="s">
        <v>79</v>
      </c>
      <c r="L303" s="56">
        <v>2011</v>
      </c>
      <c r="M303" s="12" t="str">
        <f>HYPERLINK("http://www.signifyd.com", "www.signifyd.com")</f>
        <v>www.signifyd.com</v>
      </c>
      <c r="N303" s="12" t="str">
        <f>HYPERLINK("https://my.pitchbook.com?c=55808-02", "View Company Online")</f>
        <v>View Company Online</v>
      </c>
    </row>
    <row r="304" spans="1:14" x14ac:dyDescent="0.35">
      <c r="A304" s="5" t="s">
        <v>736</v>
      </c>
      <c r="B304" s="5" t="s">
        <v>15</v>
      </c>
      <c r="C304" s="5" t="s">
        <v>22</v>
      </c>
      <c r="D304" s="31">
        <v>421.2</v>
      </c>
      <c r="E304" s="19">
        <v>45078</v>
      </c>
      <c r="F304" s="31">
        <v>5700</v>
      </c>
      <c r="G304" s="19">
        <v>44487</v>
      </c>
      <c r="H304" s="43">
        <v>85</v>
      </c>
      <c r="I304" s="43">
        <v>9</v>
      </c>
      <c r="J304" s="5" t="s">
        <v>737</v>
      </c>
      <c r="K304" s="5" t="s">
        <v>83</v>
      </c>
      <c r="L304" s="55">
        <v>2013</v>
      </c>
      <c r="M304" s="11" t="str">
        <f>HYPERLINK("http://www.workato.com", "www.workato.com")</f>
        <v>www.workato.com</v>
      </c>
      <c r="N304" s="11" t="str">
        <f>HYPERLINK("https://my.pitchbook.com?c=104504-05", "View Company Online")</f>
        <v>View Company Online</v>
      </c>
    </row>
    <row r="305" spans="1:14" x14ac:dyDescent="0.35">
      <c r="A305" s="6" t="s">
        <v>738</v>
      </c>
      <c r="B305" s="6" t="s">
        <v>1192</v>
      </c>
      <c r="C305" s="6" t="s">
        <v>159</v>
      </c>
      <c r="D305" s="32">
        <v>420.26</v>
      </c>
      <c r="E305" s="20">
        <v>45861</v>
      </c>
      <c r="F305" s="32">
        <v>686.42</v>
      </c>
      <c r="G305" s="20">
        <v>44728</v>
      </c>
      <c r="H305" s="44">
        <v>24</v>
      </c>
      <c r="I305" s="44">
        <v>63</v>
      </c>
      <c r="J305" s="6" t="s">
        <v>739</v>
      </c>
      <c r="K305" s="6" t="s">
        <v>90</v>
      </c>
      <c r="L305" s="56">
        <v>2016</v>
      </c>
      <c r="M305" s="12" t="str">
        <f>HYPERLINK("http://www.aidoc.com", "www.aidoc.com")</f>
        <v>www.aidoc.com</v>
      </c>
      <c r="N305" s="12" t="str">
        <f>HYPERLINK("https://my.pitchbook.com?c=169854-94", "View Company Online")</f>
        <v>View Company Online</v>
      </c>
    </row>
    <row r="306" spans="1:14" x14ac:dyDescent="0.35">
      <c r="A306" s="5" t="s">
        <v>740</v>
      </c>
      <c r="B306" s="6" t="s">
        <v>1192</v>
      </c>
      <c r="C306" s="5" t="s">
        <v>48</v>
      </c>
      <c r="D306" s="31">
        <v>416.6</v>
      </c>
      <c r="E306" s="19">
        <v>45867</v>
      </c>
      <c r="F306" s="31">
        <v>216</v>
      </c>
      <c r="G306" s="19">
        <v>45867</v>
      </c>
      <c r="H306" s="43">
        <v>56</v>
      </c>
      <c r="I306" s="43">
        <v>40</v>
      </c>
      <c r="J306" s="5" t="s">
        <v>741</v>
      </c>
      <c r="K306" s="5" t="s">
        <v>234</v>
      </c>
      <c r="L306" s="55">
        <v>2014</v>
      </c>
      <c r="M306" s="11" t="str">
        <f>HYPERLINK("http://www.producepay.com", "www.producepay.com")</f>
        <v>www.producepay.com</v>
      </c>
      <c r="N306" s="11" t="str">
        <f>HYPERLINK("https://my.pitchbook.com?c=113905-09", "View Company Online")</f>
        <v>View Company Online</v>
      </c>
    </row>
    <row r="307" spans="1:14" x14ac:dyDescent="0.35">
      <c r="A307" s="6" t="s">
        <v>742</v>
      </c>
      <c r="B307" s="6" t="s">
        <v>1192</v>
      </c>
      <c r="C307" s="6" t="s">
        <v>44</v>
      </c>
      <c r="D307" s="32">
        <v>416.14</v>
      </c>
      <c r="E307" s="20">
        <v>45717</v>
      </c>
      <c r="F307" s="32">
        <v>2400</v>
      </c>
      <c r="G307" s="20">
        <v>44452</v>
      </c>
      <c r="H307" s="44">
        <v>45</v>
      </c>
      <c r="I307" s="44">
        <v>53</v>
      </c>
      <c r="J307" s="6" t="s">
        <v>743</v>
      </c>
      <c r="K307" s="6" t="s">
        <v>122</v>
      </c>
      <c r="L307" s="56">
        <v>2011</v>
      </c>
      <c r="M307" s="12" t="str">
        <f>HYPERLINK("http://www.bitsight.com", "www.bitsight.com")</f>
        <v>www.bitsight.com</v>
      </c>
      <c r="N307" s="12" t="str">
        <f>HYPERLINK("https://my.pitchbook.com?c=55942-66", "View Company Online")</f>
        <v>View Company Online</v>
      </c>
    </row>
    <row r="308" spans="1:14" x14ac:dyDescent="0.35">
      <c r="A308" s="5" t="s">
        <v>744</v>
      </c>
      <c r="B308" s="5" t="s">
        <v>15</v>
      </c>
      <c r="C308" s="5" t="s">
        <v>22</v>
      </c>
      <c r="D308" s="31">
        <v>415.1</v>
      </c>
      <c r="E308" s="19">
        <v>45427</v>
      </c>
      <c r="F308" s="31">
        <v>1600</v>
      </c>
      <c r="G308" s="19">
        <v>45427</v>
      </c>
      <c r="H308" s="43">
        <v>15</v>
      </c>
      <c r="I308" s="43">
        <v>83</v>
      </c>
      <c r="J308" s="5" t="s">
        <v>745</v>
      </c>
      <c r="K308" s="5" t="s">
        <v>746</v>
      </c>
      <c r="L308" s="55">
        <v>2013</v>
      </c>
      <c r="M308" s="11" t="str">
        <f>HYPERLINK("http://www.weka.io", "www.weka.io")</f>
        <v>www.weka.io</v>
      </c>
      <c r="N308" s="11" t="str">
        <f>HYPERLINK("https://my.pitchbook.com?c=160815-16", "View Company Online")</f>
        <v>View Company Online</v>
      </c>
    </row>
    <row r="309" spans="1:14" x14ac:dyDescent="0.35">
      <c r="A309" s="6" t="s">
        <v>747</v>
      </c>
      <c r="B309" s="6" t="s">
        <v>15</v>
      </c>
      <c r="C309" s="6" t="s">
        <v>156</v>
      </c>
      <c r="D309" s="32">
        <v>415</v>
      </c>
      <c r="E309" s="20" t="s">
        <v>24</v>
      </c>
      <c r="F309" s="32">
        <v>2200</v>
      </c>
      <c r="G309" s="20">
        <v>44546</v>
      </c>
      <c r="H309" s="44">
        <v>24</v>
      </c>
      <c r="I309" s="44">
        <v>74</v>
      </c>
      <c r="J309" s="6" t="s">
        <v>748</v>
      </c>
      <c r="K309" s="6" t="s">
        <v>749</v>
      </c>
      <c r="L309" s="56">
        <v>2011</v>
      </c>
      <c r="M309" s="12" t="str">
        <f>HYPERLINK("http://www.dialpad.com", "www.dialpad.com")</f>
        <v>www.dialpad.com</v>
      </c>
      <c r="N309" s="12" t="str">
        <f>HYPERLINK("https://my.pitchbook.com?c=102522-43", "View Company Online")</f>
        <v>View Company Online</v>
      </c>
    </row>
    <row r="310" spans="1:14" x14ac:dyDescent="0.35">
      <c r="A310" s="5" t="s">
        <v>750</v>
      </c>
      <c r="B310" s="6" t="s">
        <v>1192</v>
      </c>
      <c r="C310" s="5" t="s">
        <v>48</v>
      </c>
      <c r="D310" s="31">
        <v>413.64</v>
      </c>
      <c r="E310" s="19">
        <v>45657</v>
      </c>
      <c r="F310" s="31">
        <v>218</v>
      </c>
      <c r="G310" s="19">
        <v>42990</v>
      </c>
      <c r="H310" s="43">
        <v>89</v>
      </c>
      <c r="I310" s="43">
        <v>8</v>
      </c>
      <c r="J310" s="5" t="s">
        <v>751</v>
      </c>
      <c r="K310" s="5" t="s">
        <v>18</v>
      </c>
      <c r="L310" s="55">
        <v>2003</v>
      </c>
      <c r="M310" s="11" t="str">
        <f>HYPERLINK("http://www.ariasystems.com", "www.ariasystems.com")</f>
        <v>www.ariasystems.com</v>
      </c>
      <c r="N310" s="11" t="str">
        <f>HYPERLINK("https://my.pitchbook.com?c=51539-05", "View Company Online")</f>
        <v>View Company Online</v>
      </c>
    </row>
    <row r="311" spans="1:14" x14ac:dyDescent="0.35">
      <c r="A311" s="6" t="s">
        <v>752</v>
      </c>
      <c r="B311" s="6" t="s">
        <v>1192</v>
      </c>
      <c r="C311" s="6" t="s">
        <v>31</v>
      </c>
      <c r="D311" s="32">
        <v>413</v>
      </c>
      <c r="E311" s="20">
        <v>45717</v>
      </c>
      <c r="F311" s="32">
        <v>1554.9</v>
      </c>
      <c r="G311" s="20">
        <v>44606</v>
      </c>
      <c r="H311" s="44">
        <v>52</v>
      </c>
      <c r="I311" s="44">
        <v>41</v>
      </c>
      <c r="J311" s="6" t="s">
        <v>753</v>
      </c>
      <c r="K311" s="6" t="s">
        <v>253</v>
      </c>
      <c r="L311" s="56">
        <v>2019</v>
      </c>
      <c r="M311" s="12" t="str">
        <f>HYPERLINK("http://www.glance.com", "www.glance.com")</f>
        <v>www.glance.com</v>
      </c>
      <c r="N311" s="12" t="str">
        <f>HYPERLINK("https://my.pitchbook.com?c=294495-58", "View Company Online")</f>
        <v>View Company Online</v>
      </c>
    </row>
    <row r="312" spans="1:14" x14ac:dyDescent="0.35">
      <c r="A312" s="5" t="s">
        <v>754</v>
      </c>
      <c r="B312" s="5" t="s">
        <v>26</v>
      </c>
      <c r="C312" s="5" t="s">
        <v>55</v>
      </c>
      <c r="D312" s="31">
        <v>411.48</v>
      </c>
      <c r="E312" s="19">
        <v>46086</v>
      </c>
      <c r="F312" s="31">
        <v>1447.69</v>
      </c>
      <c r="G312" s="19">
        <v>46086</v>
      </c>
      <c r="H312" s="43" t="s">
        <v>24</v>
      </c>
      <c r="I312" s="43" t="s">
        <v>24</v>
      </c>
      <c r="J312" s="5" t="s">
        <v>755</v>
      </c>
      <c r="K312" s="5" t="s">
        <v>34</v>
      </c>
      <c r="L312" s="55">
        <v>2023</v>
      </c>
      <c r="M312" s="11" t="str">
        <f>HYPERLINK("http://www.robotera.com", "www.robotera.com")</f>
        <v>www.robotera.com</v>
      </c>
      <c r="N312" s="11" t="str">
        <f>HYPERLINK("https://my.pitchbook.com?c=541133-29", "View Company Online")</f>
        <v>View Company Online</v>
      </c>
    </row>
    <row r="313" spans="1:14" x14ac:dyDescent="0.35">
      <c r="A313" s="6" t="s">
        <v>756</v>
      </c>
      <c r="B313" s="6" t="s">
        <v>1192</v>
      </c>
      <c r="C313" s="6" t="s">
        <v>44</v>
      </c>
      <c r="D313" s="32">
        <v>410.96</v>
      </c>
      <c r="E313" s="20">
        <v>45825</v>
      </c>
      <c r="F313" s="32">
        <v>1247.43</v>
      </c>
      <c r="G313" s="20">
        <v>45825</v>
      </c>
      <c r="H313" s="44">
        <v>10</v>
      </c>
      <c r="I313" s="44">
        <v>88</v>
      </c>
      <c r="J313" s="6" t="s">
        <v>757</v>
      </c>
      <c r="K313" s="6" t="s">
        <v>758</v>
      </c>
      <c r="L313" s="56">
        <v>2006</v>
      </c>
      <c r="M313" s="12" t="str">
        <f>HYPERLINK("http://www.teamworks.com", "www.teamworks.com")</f>
        <v>www.teamworks.com</v>
      </c>
      <c r="N313" s="12" t="str">
        <f>HYPERLINK("https://my.pitchbook.com?c=162908-65", "View Company Online")</f>
        <v>View Company Online</v>
      </c>
    </row>
    <row r="314" spans="1:14" x14ac:dyDescent="0.35">
      <c r="A314" s="5" t="s">
        <v>759</v>
      </c>
      <c r="B314" s="6" t="s">
        <v>1192</v>
      </c>
      <c r="C314" s="5" t="s">
        <v>159</v>
      </c>
      <c r="D314" s="31">
        <v>410.29</v>
      </c>
      <c r="E314" s="19">
        <v>45630</v>
      </c>
      <c r="F314" s="31">
        <v>630</v>
      </c>
      <c r="G314" s="19">
        <v>44767</v>
      </c>
      <c r="H314" s="43">
        <v>34</v>
      </c>
      <c r="I314" s="43">
        <v>54</v>
      </c>
      <c r="J314" s="5" t="s">
        <v>760</v>
      </c>
      <c r="K314" s="5" t="s">
        <v>72</v>
      </c>
      <c r="L314" s="55">
        <v>2016</v>
      </c>
      <c r="M314" s="11" t="str">
        <f>HYPERLINK("http://www.cleerlyhealth.com", "www.cleerlyhealth.com")</f>
        <v>www.cleerlyhealth.com</v>
      </c>
      <c r="N314" s="11" t="str">
        <f>HYPERLINK("https://my.pitchbook.com?c=184647-97", "View Company Online")</f>
        <v>View Company Online</v>
      </c>
    </row>
    <row r="315" spans="1:14" x14ac:dyDescent="0.35">
      <c r="A315" s="6" t="s">
        <v>761</v>
      </c>
      <c r="B315" s="6" t="s">
        <v>1192</v>
      </c>
      <c r="C315" s="6" t="s">
        <v>159</v>
      </c>
      <c r="D315" s="32">
        <v>409.45</v>
      </c>
      <c r="E315" s="20">
        <v>45992</v>
      </c>
      <c r="F315" s="32">
        <v>645</v>
      </c>
      <c r="G315" s="20">
        <v>44315</v>
      </c>
      <c r="H315" s="44">
        <v>6</v>
      </c>
      <c r="I315" s="44">
        <v>92</v>
      </c>
      <c r="J315" s="6" t="s">
        <v>762</v>
      </c>
      <c r="K315" s="6" t="s">
        <v>62</v>
      </c>
      <c r="L315" s="56">
        <v>2015</v>
      </c>
      <c r="M315" s="12" t="str">
        <f>HYPERLINK("http://www.exo.inc", "www.exo.inc")</f>
        <v>www.exo.inc</v>
      </c>
      <c r="N315" s="12" t="str">
        <f>HYPERLINK("https://my.pitchbook.com?c=164065-96", "View Company Online")</f>
        <v>View Company Online</v>
      </c>
    </row>
    <row r="316" spans="1:14" x14ac:dyDescent="0.35">
      <c r="A316" s="5" t="s">
        <v>763</v>
      </c>
      <c r="B316" s="6" t="s">
        <v>1192</v>
      </c>
      <c r="C316" s="5" t="s">
        <v>44</v>
      </c>
      <c r="D316" s="31">
        <v>409.3</v>
      </c>
      <c r="E316" s="19">
        <v>45369</v>
      </c>
      <c r="F316" s="31">
        <v>895.7</v>
      </c>
      <c r="G316" s="19">
        <v>45369</v>
      </c>
      <c r="H316" s="43">
        <v>17</v>
      </c>
      <c r="I316" s="43">
        <v>71</v>
      </c>
      <c r="J316" s="5" t="s">
        <v>764</v>
      </c>
      <c r="K316" s="5" t="s">
        <v>310</v>
      </c>
      <c r="L316" s="55">
        <v>2013</v>
      </c>
      <c r="M316" s="11" t="str">
        <f>HYPERLINK("http://www.guesty.com", "www.guesty.com")</f>
        <v>www.guesty.com</v>
      </c>
      <c r="N316" s="11" t="str">
        <f>HYPERLINK("https://my.pitchbook.com?c=62117-92", "View Company Online")</f>
        <v>View Company Online</v>
      </c>
    </row>
    <row r="317" spans="1:14" x14ac:dyDescent="0.35">
      <c r="A317" s="6" t="s">
        <v>765</v>
      </c>
      <c r="B317" s="6" t="s">
        <v>1192</v>
      </c>
      <c r="C317" s="6" t="s">
        <v>44</v>
      </c>
      <c r="D317" s="32">
        <v>406.98</v>
      </c>
      <c r="E317" s="20" t="s">
        <v>24</v>
      </c>
      <c r="F317" s="32">
        <v>3000</v>
      </c>
      <c r="G317" s="20" t="s">
        <v>24</v>
      </c>
      <c r="H317" s="44">
        <v>18</v>
      </c>
      <c r="I317" s="44">
        <v>79</v>
      </c>
      <c r="J317" s="6" t="s">
        <v>766</v>
      </c>
      <c r="K317" s="6" t="s">
        <v>18</v>
      </c>
      <c r="L317" s="56">
        <v>2015</v>
      </c>
      <c r="M317" s="12" t="str">
        <f>HYPERLINK("http://www.incode.com", "www.incode.com")</f>
        <v>www.incode.com</v>
      </c>
      <c r="N317" s="12" t="str">
        <f>HYPERLINK("https://my.pitchbook.com?c=179754-58", "View Company Online")</f>
        <v>View Company Online</v>
      </c>
    </row>
    <row r="318" spans="1:14" x14ac:dyDescent="0.35">
      <c r="A318" s="5" t="s">
        <v>767</v>
      </c>
      <c r="B318" s="6" t="s">
        <v>1192</v>
      </c>
      <c r="C318" s="5" t="s">
        <v>48</v>
      </c>
      <c r="D318" s="31">
        <v>406.9</v>
      </c>
      <c r="E318" s="19">
        <v>45995</v>
      </c>
      <c r="F318" s="31">
        <v>500</v>
      </c>
      <c r="G318" s="19">
        <v>45995</v>
      </c>
      <c r="H318" s="43">
        <v>37</v>
      </c>
      <c r="I318" s="43">
        <v>56</v>
      </c>
      <c r="J318" s="5" t="s">
        <v>768</v>
      </c>
      <c r="K318" s="5" t="s">
        <v>352</v>
      </c>
      <c r="L318" s="55">
        <v>2019</v>
      </c>
      <c r="M318" s="11" t="str">
        <f>HYPERLINK("http://www.flex.one", "www.flex.one")</f>
        <v>www.flex.one</v>
      </c>
      <c r="N318" s="11" t="str">
        <f>HYPERLINK("https://my.pitchbook.com?c=454650-67", "View Company Online")</f>
        <v>View Company Online</v>
      </c>
    </row>
    <row r="319" spans="1:14" x14ac:dyDescent="0.35">
      <c r="A319" s="6" t="s">
        <v>769</v>
      </c>
      <c r="B319" s="6" t="s">
        <v>1192</v>
      </c>
      <c r="C319" s="6" t="s">
        <v>159</v>
      </c>
      <c r="D319" s="32">
        <v>404</v>
      </c>
      <c r="E319" s="20">
        <v>45964</v>
      </c>
      <c r="F319" s="32">
        <v>3500</v>
      </c>
      <c r="G319" s="20">
        <v>45964</v>
      </c>
      <c r="H319" s="44">
        <v>21</v>
      </c>
      <c r="I319" s="44">
        <v>66</v>
      </c>
      <c r="J319" s="6" t="s">
        <v>770</v>
      </c>
      <c r="K319" s="6" t="s">
        <v>83</v>
      </c>
      <c r="L319" s="56">
        <v>2023</v>
      </c>
      <c r="M319" s="12" t="str">
        <f>HYPERLINK("http://www.hippocraticai.com", "www.hippocraticai.com")</f>
        <v>www.hippocraticai.com</v>
      </c>
      <c r="N319" s="12" t="str">
        <f>HYPERLINK("https://my.pitchbook.com?c=527653-36", "View Company Online")</f>
        <v>View Company Online</v>
      </c>
    </row>
    <row r="320" spans="1:14" x14ac:dyDescent="0.35">
      <c r="A320" s="5" t="s">
        <v>771</v>
      </c>
      <c r="B320" s="5" t="s">
        <v>15</v>
      </c>
      <c r="C320" s="5" t="s">
        <v>22</v>
      </c>
      <c r="D320" s="31">
        <v>400.23</v>
      </c>
      <c r="E320" s="19">
        <v>45434</v>
      </c>
      <c r="F320" s="31">
        <v>1464.16</v>
      </c>
      <c r="G320" s="19">
        <v>45386</v>
      </c>
      <c r="H320" s="43">
        <v>76</v>
      </c>
      <c r="I320" s="43">
        <v>18</v>
      </c>
      <c r="J320" s="5" t="s">
        <v>772</v>
      </c>
      <c r="K320" s="5" t="s">
        <v>99</v>
      </c>
      <c r="L320" s="55">
        <v>2019</v>
      </c>
      <c r="M320" s="11" t="str">
        <f>HYPERLINK("http://www.pigment.com", "www.pigment.com")</f>
        <v>www.pigment.com</v>
      </c>
      <c r="N320" s="11" t="str">
        <f>HYPERLINK("https://my.pitchbook.com?c=435866-68", "View Company Online")</f>
        <v>View Company Online</v>
      </c>
    </row>
    <row r="321" spans="1:14" x14ac:dyDescent="0.35">
      <c r="A321" s="6" t="s">
        <v>773</v>
      </c>
      <c r="B321" s="6" t="s">
        <v>15</v>
      </c>
      <c r="C321" s="6" t="s">
        <v>22</v>
      </c>
      <c r="D321" s="32">
        <v>399.48</v>
      </c>
      <c r="E321" s="20">
        <v>46055</v>
      </c>
      <c r="F321" s="32">
        <v>1700</v>
      </c>
      <c r="G321" s="20">
        <v>44662</v>
      </c>
      <c r="H321" s="44">
        <v>71</v>
      </c>
      <c r="I321" s="44">
        <v>25</v>
      </c>
      <c r="J321" s="6" t="s">
        <v>774</v>
      </c>
      <c r="K321" s="6" t="s">
        <v>775</v>
      </c>
      <c r="L321" s="56">
        <v>2011</v>
      </c>
      <c r="M321" s="12" t="str">
        <f>HYPERLINK("http://www.pax8.com", "www.pax8.com")</f>
        <v>www.pax8.com</v>
      </c>
      <c r="N321" s="12" t="str">
        <f>HYPERLINK("https://my.pitchbook.com?c=57987-28", "View Company Online")</f>
        <v>View Company Online</v>
      </c>
    </row>
    <row r="322" spans="1:14" x14ac:dyDescent="0.35">
      <c r="A322" s="5" t="s">
        <v>776</v>
      </c>
      <c r="B322" s="5" t="s">
        <v>15</v>
      </c>
      <c r="C322" s="5" t="s">
        <v>16</v>
      </c>
      <c r="D322" s="31">
        <v>398.79</v>
      </c>
      <c r="E322" s="19">
        <v>45926</v>
      </c>
      <c r="F322" s="31">
        <v>1000</v>
      </c>
      <c r="G322" s="19">
        <v>44851</v>
      </c>
      <c r="H322" s="43">
        <v>73</v>
      </c>
      <c r="I322" s="43">
        <v>17</v>
      </c>
      <c r="J322" s="5" t="s">
        <v>777</v>
      </c>
      <c r="K322" s="5" t="s">
        <v>68</v>
      </c>
      <c r="L322" s="55">
        <v>2019</v>
      </c>
      <c r="M322" s="11" t="str">
        <f>HYPERLINK("http://www.stability.ai", "www.stability.ai")</f>
        <v>www.stability.ai</v>
      </c>
      <c r="N322" s="11" t="str">
        <f>HYPERLINK("https://my.pitchbook.com?c=503578-90", "View Company Online")</f>
        <v>View Company Online</v>
      </c>
    </row>
    <row r="323" spans="1:14" x14ac:dyDescent="0.35">
      <c r="A323" s="6" t="s">
        <v>778</v>
      </c>
      <c r="B323" s="6" t="s">
        <v>1192</v>
      </c>
      <c r="C323" s="6" t="s">
        <v>44</v>
      </c>
      <c r="D323" s="32">
        <v>397.16</v>
      </c>
      <c r="E323" s="20">
        <v>45629</v>
      </c>
      <c r="F323" s="32">
        <v>325.76</v>
      </c>
      <c r="G323" s="20">
        <v>44397</v>
      </c>
      <c r="H323" s="44">
        <v>81</v>
      </c>
      <c r="I323" s="44">
        <v>14</v>
      </c>
      <c r="J323" s="6" t="s">
        <v>779</v>
      </c>
      <c r="K323" s="6" t="s">
        <v>539</v>
      </c>
      <c r="L323" s="56">
        <v>2018</v>
      </c>
      <c r="M323" s="12" t="str">
        <f>HYPERLINK("http://www.coachhub.com", "www.coachhub.com")</f>
        <v>www.coachhub.com</v>
      </c>
      <c r="N323" s="12" t="str">
        <f>HYPERLINK("https://my.pitchbook.com?c=277516-72", "View Company Online")</f>
        <v>View Company Online</v>
      </c>
    </row>
    <row r="324" spans="1:14" x14ac:dyDescent="0.35">
      <c r="A324" s="5" t="s">
        <v>780</v>
      </c>
      <c r="B324" s="6" t="s">
        <v>1192</v>
      </c>
      <c r="C324" s="5" t="s">
        <v>44</v>
      </c>
      <c r="D324" s="31">
        <v>396.75</v>
      </c>
      <c r="E324" s="19">
        <v>44357</v>
      </c>
      <c r="F324" s="31">
        <v>2100</v>
      </c>
      <c r="G324" s="19">
        <v>44357</v>
      </c>
      <c r="H324" s="43">
        <v>62</v>
      </c>
      <c r="I324" s="43">
        <v>14</v>
      </c>
      <c r="J324" s="5" t="s">
        <v>781</v>
      </c>
      <c r="K324" s="5" t="s">
        <v>62</v>
      </c>
      <c r="L324" s="55">
        <v>2016</v>
      </c>
      <c r="M324" s="11" t="str">
        <f>HYPERLINK("http://www.eightfold.ai", "www.eightfold.ai")</f>
        <v>www.eightfold.ai</v>
      </c>
      <c r="N324" s="11" t="str">
        <f>HYPERLINK("https://my.pitchbook.com?c=167000-50", "View Company Online")</f>
        <v>View Company Online</v>
      </c>
    </row>
    <row r="325" spans="1:14" x14ac:dyDescent="0.35">
      <c r="A325" s="6" t="s">
        <v>782</v>
      </c>
      <c r="B325" s="6" t="s">
        <v>15</v>
      </c>
      <c r="C325" s="6" t="s">
        <v>16</v>
      </c>
      <c r="D325" s="32">
        <v>394.71</v>
      </c>
      <c r="E325" s="20">
        <v>46010</v>
      </c>
      <c r="F325" s="32">
        <v>4500</v>
      </c>
      <c r="G325" s="20">
        <v>45147</v>
      </c>
      <c r="H325" s="44">
        <v>24</v>
      </c>
      <c r="I325" s="44">
        <v>74</v>
      </c>
      <c r="J325" s="6" t="s">
        <v>783</v>
      </c>
      <c r="K325" s="6" t="s">
        <v>90</v>
      </c>
      <c r="L325" s="56">
        <v>2016</v>
      </c>
      <c r="M325" s="12" t="str">
        <f>HYPERLINK("http://www.huggingface.co", "www.huggingface.co")</f>
        <v>www.huggingface.co</v>
      </c>
      <c r="N325" s="12" t="str">
        <f>HYPERLINK("https://my.pitchbook.com?c=168527-08", "View Company Online")</f>
        <v>View Company Online</v>
      </c>
    </row>
    <row r="326" spans="1:14" x14ac:dyDescent="0.35">
      <c r="A326" s="5" t="s">
        <v>784</v>
      </c>
      <c r="B326" s="6" t="s">
        <v>1192</v>
      </c>
      <c r="C326" s="5" t="s">
        <v>48</v>
      </c>
      <c r="D326" s="31">
        <v>392.58</v>
      </c>
      <c r="E326" s="19">
        <v>45966</v>
      </c>
      <c r="F326" s="31">
        <v>350</v>
      </c>
      <c r="G326" s="19">
        <v>45688</v>
      </c>
      <c r="H326" s="43">
        <v>19</v>
      </c>
      <c r="I326" s="43">
        <v>25</v>
      </c>
      <c r="J326" s="5" t="s">
        <v>785</v>
      </c>
      <c r="K326" s="5" t="s">
        <v>786</v>
      </c>
      <c r="L326" s="55">
        <v>2009</v>
      </c>
      <c r="M326" s="11" t="str">
        <f>HYPERLINK("http://www.zest.ai", "www.zest.ai")</f>
        <v>www.zest.ai</v>
      </c>
      <c r="N326" s="11" t="str">
        <f>HYPERLINK("https://my.pitchbook.com?c=52516-63", "View Company Online")</f>
        <v>View Company Online</v>
      </c>
    </row>
    <row r="327" spans="1:14" x14ac:dyDescent="0.35">
      <c r="A327" s="6" t="s">
        <v>787</v>
      </c>
      <c r="B327" s="6" t="s">
        <v>1192</v>
      </c>
      <c r="C327" s="6" t="s">
        <v>74</v>
      </c>
      <c r="D327" s="32">
        <v>392.56</v>
      </c>
      <c r="E327" s="20">
        <v>45930</v>
      </c>
      <c r="F327" s="32">
        <v>800</v>
      </c>
      <c r="G327" s="20">
        <v>45055</v>
      </c>
      <c r="H327" s="44">
        <v>29</v>
      </c>
      <c r="I327" s="44">
        <v>67</v>
      </c>
      <c r="J327" s="6" t="s">
        <v>788</v>
      </c>
      <c r="K327" s="6" t="s">
        <v>789</v>
      </c>
      <c r="L327" s="56">
        <v>2016</v>
      </c>
      <c r="M327" s="12" t="str">
        <f>HYPERLINK("http://www.uveye.com", "www.uveye.com")</f>
        <v>www.uveye.com</v>
      </c>
      <c r="N327" s="12" t="str">
        <f>HYPERLINK("https://my.pitchbook.com?c=180027-10", "View Company Online")</f>
        <v>View Company Online</v>
      </c>
    </row>
    <row r="328" spans="1:14" x14ac:dyDescent="0.35">
      <c r="A328" s="5" t="s">
        <v>790</v>
      </c>
      <c r="B328" s="5" t="s">
        <v>15</v>
      </c>
      <c r="C328" s="5" t="s">
        <v>156</v>
      </c>
      <c r="D328" s="31">
        <v>392</v>
      </c>
      <c r="E328" s="19">
        <v>44517</v>
      </c>
      <c r="F328" s="31">
        <v>13000</v>
      </c>
      <c r="G328" s="19">
        <v>44517</v>
      </c>
      <c r="H328" s="43">
        <v>37</v>
      </c>
      <c r="I328" s="43">
        <v>52</v>
      </c>
      <c r="J328" s="5" t="s">
        <v>791</v>
      </c>
      <c r="K328" s="5" t="s">
        <v>18</v>
      </c>
      <c r="L328" s="55">
        <v>2015</v>
      </c>
      <c r="M328" s="11" t="str">
        <f>HYPERLINK("http://www.superhuman.com", "www.superhuman.com")</f>
        <v>www.superhuman.com</v>
      </c>
      <c r="N328" s="11" t="str">
        <f>HYPERLINK("https://my.pitchbook.com?c=92115-91", "View Company Online")</f>
        <v>View Company Online</v>
      </c>
    </row>
    <row r="329" spans="1:14" x14ac:dyDescent="0.35">
      <c r="A329" s="6" t="s">
        <v>792</v>
      </c>
      <c r="B329" s="6" t="s">
        <v>1192</v>
      </c>
      <c r="C329" s="6" t="s">
        <v>159</v>
      </c>
      <c r="D329" s="32">
        <v>391</v>
      </c>
      <c r="E329" s="20">
        <v>44300</v>
      </c>
      <c r="F329" s="32">
        <v>1500</v>
      </c>
      <c r="G329" s="20">
        <v>44300</v>
      </c>
      <c r="H329" s="44" t="s">
        <v>24</v>
      </c>
      <c r="I329" s="44" t="s">
        <v>24</v>
      </c>
      <c r="J329" s="6" t="s">
        <v>793</v>
      </c>
      <c r="K329" s="6" t="s">
        <v>794</v>
      </c>
      <c r="L329" s="56">
        <v>2019</v>
      </c>
      <c r="M329" s="12" t="str">
        <f>HYPERLINK("http://www.fiture.com", "www.fiture.com")</f>
        <v>www.fiture.com</v>
      </c>
      <c r="N329" s="12" t="str">
        <f>HYPERLINK("https://my.pitchbook.com?c=279390-52", "View Company Online")</f>
        <v>View Company Online</v>
      </c>
    </row>
    <row r="330" spans="1:14" x14ac:dyDescent="0.35">
      <c r="A330" s="5" t="s">
        <v>795</v>
      </c>
      <c r="B330" s="6" t="s">
        <v>1192</v>
      </c>
      <c r="C330" s="5" t="s">
        <v>31</v>
      </c>
      <c r="D330" s="31">
        <v>390</v>
      </c>
      <c r="E330" s="19">
        <v>45962</v>
      </c>
      <c r="F330" s="31">
        <v>1945</v>
      </c>
      <c r="G330" s="19">
        <v>45962</v>
      </c>
      <c r="H330" s="43">
        <v>65</v>
      </c>
      <c r="I330" s="43">
        <v>9</v>
      </c>
      <c r="J330" s="5" t="s">
        <v>796</v>
      </c>
      <c r="K330" s="5" t="s">
        <v>83</v>
      </c>
      <c r="L330" s="55">
        <v>2023</v>
      </c>
      <c r="M330" s="11" t="str">
        <f>HYPERLINK("http://app.reve.com", "app.reve.com")</f>
        <v>app.reve.com</v>
      </c>
      <c r="N330" s="11" t="str">
        <f>HYPERLINK("https://my.pitchbook.com?c=769520-71", "View Company Online")</f>
        <v>View Company Online</v>
      </c>
    </row>
    <row r="331" spans="1:14" x14ac:dyDescent="0.35">
      <c r="A331" s="6" t="s">
        <v>797</v>
      </c>
      <c r="B331" s="6" t="s">
        <v>26</v>
      </c>
      <c r="C331" s="6" t="s">
        <v>55</v>
      </c>
      <c r="D331" s="32">
        <v>388.5</v>
      </c>
      <c r="E331" s="20">
        <v>45519</v>
      </c>
      <c r="F331" s="32">
        <v>129.94999999999999</v>
      </c>
      <c r="G331" s="20">
        <v>43811</v>
      </c>
      <c r="H331" s="44">
        <v>17</v>
      </c>
      <c r="I331" s="44">
        <v>77</v>
      </c>
      <c r="J331" s="6" t="s">
        <v>798</v>
      </c>
      <c r="K331" s="6" t="s">
        <v>799</v>
      </c>
      <c r="L331" s="56">
        <v>2013</v>
      </c>
      <c r="M331" s="12" t="str">
        <f>HYPERLINK("http://www.caresyntax.com", "www.caresyntax.com")</f>
        <v>www.caresyntax.com</v>
      </c>
      <c r="N331" s="12" t="str">
        <f>HYPERLINK("https://my.pitchbook.com?c=184145-14", "View Company Online")</f>
        <v>View Company Online</v>
      </c>
    </row>
    <row r="332" spans="1:14" x14ac:dyDescent="0.35">
      <c r="A332" s="5" t="s">
        <v>800</v>
      </c>
      <c r="B332" s="5" t="s">
        <v>39</v>
      </c>
      <c r="C332" s="5" t="s">
        <v>40</v>
      </c>
      <c r="D332" s="31">
        <v>387.37</v>
      </c>
      <c r="E332" s="19">
        <v>45616</v>
      </c>
      <c r="F332" s="31" t="s">
        <v>24</v>
      </c>
      <c r="G332" s="19" t="s">
        <v>24</v>
      </c>
      <c r="H332" s="43">
        <v>69</v>
      </c>
      <c r="I332" s="43">
        <v>4</v>
      </c>
      <c r="J332" s="5" t="s">
        <v>801</v>
      </c>
      <c r="K332" s="5" t="s">
        <v>802</v>
      </c>
      <c r="L332" s="55">
        <v>2018</v>
      </c>
      <c r="M332" s="11" t="str">
        <f>HYPERLINK("http://www.qscale.com", "www.qscale.com")</f>
        <v>www.qscale.com</v>
      </c>
      <c r="N332" s="11" t="str">
        <f>HYPERLINK("https://my.pitchbook.com?c=481580-29", "View Company Online")</f>
        <v>View Company Online</v>
      </c>
    </row>
    <row r="333" spans="1:14" x14ac:dyDescent="0.35">
      <c r="A333" s="6" t="s">
        <v>803</v>
      </c>
      <c r="B333" s="6" t="s">
        <v>1192</v>
      </c>
      <c r="C333" s="6" t="s">
        <v>44</v>
      </c>
      <c r="D333" s="32">
        <v>386.22</v>
      </c>
      <c r="E333" s="20">
        <v>46022</v>
      </c>
      <c r="F333" s="32">
        <v>368.27</v>
      </c>
      <c r="G333" s="20">
        <v>45881</v>
      </c>
      <c r="H333" s="44">
        <v>32</v>
      </c>
      <c r="I333" s="44">
        <v>66</v>
      </c>
      <c r="J333" s="6" t="s">
        <v>804</v>
      </c>
      <c r="K333" s="6" t="s">
        <v>83</v>
      </c>
      <c r="L333" s="56">
        <v>2012</v>
      </c>
      <c r="M333" s="12" t="str">
        <f>HYPERLINK("http://www.safe.security", "www.safe.security")</f>
        <v>www.safe.security</v>
      </c>
      <c r="N333" s="12" t="str">
        <f>HYPERLINK("https://my.pitchbook.com?c=113946-40", "View Company Online")</f>
        <v>View Company Online</v>
      </c>
    </row>
    <row r="334" spans="1:14" x14ac:dyDescent="0.35">
      <c r="A334" s="5" t="s">
        <v>805</v>
      </c>
      <c r="B334" s="5" t="s">
        <v>15</v>
      </c>
      <c r="C334" s="5" t="s">
        <v>193</v>
      </c>
      <c r="D334" s="31">
        <v>385.16</v>
      </c>
      <c r="E334" s="19">
        <v>44610</v>
      </c>
      <c r="F334" s="31">
        <v>2113.9299999999998</v>
      </c>
      <c r="G334" s="19">
        <v>43267</v>
      </c>
      <c r="H334" s="43" t="s">
        <v>24</v>
      </c>
      <c r="I334" s="43" t="s">
        <v>24</v>
      </c>
      <c r="J334" s="5" t="s">
        <v>806</v>
      </c>
      <c r="K334" s="5" t="s">
        <v>219</v>
      </c>
      <c r="L334" s="55">
        <v>2012</v>
      </c>
      <c r="M334" s="11" t="str">
        <f>HYPERLINK("http://www.yitutech.com", "www.yitutech.com")</f>
        <v>www.yitutech.com</v>
      </c>
      <c r="N334" s="11" t="str">
        <f>HYPERLINK("https://my.pitchbook.com?c=167529-52", "View Company Online")</f>
        <v>View Company Online</v>
      </c>
    </row>
    <row r="335" spans="1:14" x14ac:dyDescent="0.35">
      <c r="A335" s="6" t="s">
        <v>807</v>
      </c>
      <c r="B335" s="6" t="s">
        <v>1192</v>
      </c>
      <c r="C335" s="6" t="s">
        <v>44</v>
      </c>
      <c r="D335" s="32">
        <v>384.91</v>
      </c>
      <c r="E335" s="20">
        <v>45855</v>
      </c>
      <c r="F335" s="32">
        <v>2000</v>
      </c>
      <c r="G335" s="20">
        <v>45855</v>
      </c>
      <c r="H335" s="44">
        <v>36</v>
      </c>
      <c r="I335" s="44">
        <v>62</v>
      </c>
      <c r="J335" s="6" t="s">
        <v>808</v>
      </c>
      <c r="K335" s="6" t="s">
        <v>18</v>
      </c>
      <c r="L335" s="56">
        <v>2019</v>
      </c>
      <c r="M335" s="12" t="str">
        <f>HYPERLINK("http://www.evenuplaw.com", "www.evenuplaw.com")</f>
        <v>www.evenuplaw.com</v>
      </c>
      <c r="N335" s="12" t="str">
        <f>HYPERLINK("https://my.pitchbook.com?c=439521-94", "View Company Online")</f>
        <v>View Company Online</v>
      </c>
    </row>
    <row r="336" spans="1:14" x14ac:dyDescent="0.35">
      <c r="A336" s="5" t="s">
        <v>809</v>
      </c>
      <c r="B336" s="5" t="s">
        <v>26</v>
      </c>
      <c r="C336" s="5" t="s">
        <v>55</v>
      </c>
      <c r="D336" s="31">
        <v>384.03</v>
      </c>
      <c r="E336" s="19">
        <v>44914</v>
      </c>
      <c r="F336" s="31">
        <v>849.75</v>
      </c>
      <c r="G336" s="19">
        <v>44386</v>
      </c>
      <c r="H336" s="43">
        <v>85</v>
      </c>
      <c r="I336" s="43">
        <v>13</v>
      </c>
      <c r="J336" s="5" t="s">
        <v>810</v>
      </c>
      <c r="K336" s="5" t="s">
        <v>147</v>
      </c>
      <c r="L336" s="55">
        <v>2018</v>
      </c>
      <c r="M336" s="11" t="str">
        <f>HYPERLINK("http://www.agile-robots.com", "www.agile-robots.com")</f>
        <v>www.agile-robots.com</v>
      </c>
      <c r="N336" s="11" t="str">
        <f>HYPERLINK("https://my.pitchbook.com?c=268568-47", "View Company Online")</f>
        <v>View Company Online</v>
      </c>
    </row>
    <row r="337" spans="1:14" x14ac:dyDescent="0.35">
      <c r="A337" s="6" t="s">
        <v>811</v>
      </c>
      <c r="B337" s="6" t="s">
        <v>1192</v>
      </c>
      <c r="C337" s="6" t="s">
        <v>48</v>
      </c>
      <c r="D337" s="32">
        <v>383.5</v>
      </c>
      <c r="E337" s="20">
        <v>45552</v>
      </c>
      <c r="F337" s="32">
        <v>1100</v>
      </c>
      <c r="G337" s="20">
        <v>44530</v>
      </c>
      <c r="H337" s="44">
        <v>36</v>
      </c>
      <c r="I337" s="44">
        <v>62</v>
      </c>
      <c r="J337" s="6" t="s">
        <v>812</v>
      </c>
      <c r="K337" s="6" t="s">
        <v>813</v>
      </c>
      <c r="L337" s="56">
        <v>2012</v>
      </c>
      <c r="M337" s="12" t="str">
        <f>HYPERLINK("http://www.fundbox.com", "www.fundbox.com")</f>
        <v>www.fundbox.com</v>
      </c>
      <c r="N337" s="12" t="str">
        <f>HYPERLINK("https://my.pitchbook.com?c=58860-91", "View Company Online")</f>
        <v>View Company Online</v>
      </c>
    </row>
    <row r="338" spans="1:14" x14ac:dyDescent="0.35">
      <c r="A338" s="5" t="s">
        <v>814</v>
      </c>
      <c r="B338" s="5" t="s">
        <v>15</v>
      </c>
      <c r="C338" s="5" t="s">
        <v>156</v>
      </c>
      <c r="D338" s="31">
        <v>381.96</v>
      </c>
      <c r="E338" s="19">
        <v>45889</v>
      </c>
      <c r="F338" s="31">
        <v>2300</v>
      </c>
      <c r="G338" s="19">
        <v>45889</v>
      </c>
      <c r="H338" s="43">
        <v>36</v>
      </c>
      <c r="I338" s="43">
        <v>61</v>
      </c>
      <c r="J338" s="5" t="s">
        <v>815</v>
      </c>
      <c r="K338" s="5" t="s">
        <v>90</v>
      </c>
      <c r="L338" s="55">
        <v>2017</v>
      </c>
      <c r="M338" s="11" t="str">
        <f>HYPERLINK("http://www.eliseai.com", "www.eliseai.com")</f>
        <v>www.eliseai.com</v>
      </c>
      <c r="N338" s="11" t="str">
        <f>HYPERLINK("https://my.pitchbook.com?c=279448-03", "View Company Online")</f>
        <v>View Company Online</v>
      </c>
    </row>
    <row r="339" spans="1:14" x14ac:dyDescent="0.35">
      <c r="A339" s="6" t="s">
        <v>816</v>
      </c>
      <c r="B339" s="6" t="s">
        <v>1192</v>
      </c>
      <c r="C339" s="6" t="s">
        <v>44</v>
      </c>
      <c r="D339" s="32">
        <v>381.95</v>
      </c>
      <c r="E339" s="20">
        <v>45405</v>
      </c>
      <c r="F339" s="32">
        <v>651.29999999999995</v>
      </c>
      <c r="G339" s="20">
        <v>44705</v>
      </c>
      <c r="H339" s="44">
        <v>62</v>
      </c>
      <c r="I339" s="44">
        <v>36</v>
      </c>
      <c r="J339" s="6" t="s">
        <v>817</v>
      </c>
      <c r="K339" s="6" t="s">
        <v>298</v>
      </c>
      <c r="L339" s="56">
        <v>2013</v>
      </c>
      <c r="M339" s="12" t="str">
        <f>HYPERLINK("http://www.semperis.com", "www.semperis.com")</f>
        <v>www.semperis.com</v>
      </c>
      <c r="N339" s="12" t="str">
        <f>HYPERLINK("https://my.pitchbook.com?c=98429-23", "View Company Online")</f>
        <v>View Company Online</v>
      </c>
    </row>
    <row r="340" spans="1:14" x14ac:dyDescent="0.35">
      <c r="A340" s="5" t="s">
        <v>818</v>
      </c>
      <c r="B340" s="6" t="s">
        <v>1192</v>
      </c>
      <c r="C340" s="5" t="s">
        <v>44</v>
      </c>
      <c r="D340" s="31">
        <v>380</v>
      </c>
      <c r="E340" s="19">
        <v>45924</v>
      </c>
      <c r="F340" s="31">
        <v>1600</v>
      </c>
      <c r="G340" s="19">
        <v>45924</v>
      </c>
      <c r="H340" s="43">
        <v>86</v>
      </c>
      <c r="I340" s="43">
        <v>7</v>
      </c>
      <c r="J340" s="5" t="s">
        <v>819</v>
      </c>
      <c r="K340" s="5" t="s">
        <v>820</v>
      </c>
      <c r="L340" s="55">
        <v>2022</v>
      </c>
      <c r="M340" s="11" t="str">
        <f>HYPERLINK("http://www.modular.com", "www.modular.com")</f>
        <v>www.modular.com</v>
      </c>
      <c r="N340" s="11" t="str">
        <f>HYPERLINK("https://my.pitchbook.com?c=500823-73", "View Company Online")</f>
        <v>View Company Online</v>
      </c>
    </row>
    <row r="341" spans="1:14" x14ac:dyDescent="0.35">
      <c r="A341" s="6" t="s">
        <v>821</v>
      </c>
      <c r="B341" s="6" t="s">
        <v>1192</v>
      </c>
      <c r="C341" s="6" t="s">
        <v>36</v>
      </c>
      <c r="D341" s="32">
        <v>379.93</v>
      </c>
      <c r="E341" s="20">
        <v>45623</v>
      </c>
      <c r="F341" s="32">
        <v>75</v>
      </c>
      <c r="G341" s="20">
        <v>45623</v>
      </c>
      <c r="H341" s="44">
        <v>83</v>
      </c>
      <c r="I341" s="44">
        <v>13</v>
      </c>
      <c r="J341" s="6" t="s">
        <v>822</v>
      </c>
      <c r="K341" s="6" t="s">
        <v>90</v>
      </c>
      <c r="L341" s="56">
        <v>2017</v>
      </c>
      <c r="M341" s="12" t="str">
        <f>HYPERLINK("http://www.constrafor.com", "www.constrafor.com")</f>
        <v>www.constrafor.com</v>
      </c>
      <c r="N341" s="12" t="str">
        <f>HYPERLINK("https://my.pitchbook.com?c=342044-38", "View Company Online")</f>
        <v>View Company Online</v>
      </c>
    </row>
    <row r="342" spans="1:14" x14ac:dyDescent="0.35">
      <c r="A342" s="5" t="s">
        <v>823</v>
      </c>
      <c r="B342" s="6" t="s">
        <v>1192</v>
      </c>
      <c r="C342" s="5" t="s">
        <v>159</v>
      </c>
      <c r="D342" s="31">
        <v>379.3</v>
      </c>
      <c r="E342" s="19">
        <v>45930</v>
      </c>
      <c r="F342" s="31">
        <v>346</v>
      </c>
      <c r="G342" s="19">
        <v>45930</v>
      </c>
      <c r="H342" s="43">
        <v>21</v>
      </c>
      <c r="I342" s="43">
        <v>77</v>
      </c>
      <c r="J342" s="5" t="s">
        <v>824</v>
      </c>
      <c r="K342" s="5" t="s">
        <v>135</v>
      </c>
      <c r="L342" s="55">
        <v>2018</v>
      </c>
      <c r="M342" s="11" t="str">
        <f>HYPERLINK("http://www.aspenneuroscience.com", "www.aspenneuroscience.com")</f>
        <v>www.aspenneuroscience.com</v>
      </c>
      <c r="N342" s="11" t="str">
        <f>HYPERLINK("https://my.pitchbook.com?c=267228-46", "View Company Online")</f>
        <v>View Company Online</v>
      </c>
    </row>
    <row r="343" spans="1:14" x14ac:dyDescent="0.35">
      <c r="A343" s="6" t="s">
        <v>825</v>
      </c>
      <c r="B343" s="6" t="s">
        <v>15</v>
      </c>
      <c r="C343" s="6" t="s">
        <v>16</v>
      </c>
      <c r="D343" s="32">
        <v>379</v>
      </c>
      <c r="E343" s="20">
        <v>45978</v>
      </c>
      <c r="F343" s="32">
        <v>2650</v>
      </c>
      <c r="G343" s="20">
        <v>45978</v>
      </c>
      <c r="H343" s="44">
        <v>4</v>
      </c>
      <c r="I343" s="44">
        <v>68</v>
      </c>
      <c r="J343" s="6" t="s">
        <v>826</v>
      </c>
      <c r="K343" s="6" t="s">
        <v>669</v>
      </c>
      <c r="L343" s="56">
        <v>2023</v>
      </c>
      <c r="M343" s="12" t="str">
        <f>HYPERLINK("http://sakana.ai", "sakana.ai")</f>
        <v>sakana.ai</v>
      </c>
      <c r="N343" s="12" t="str">
        <f>HYPERLINK("https://my.pitchbook.com?c=537652-45", "View Company Online")</f>
        <v>View Company Online</v>
      </c>
    </row>
    <row r="344" spans="1:14" x14ac:dyDescent="0.35">
      <c r="A344" s="5" t="s">
        <v>827</v>
      </c>
      <c r="B344" s="6" t="s">
        <v>1192</v>
      </c>
      <c r="C344" s="5" t="s">
        <v>44</v>
      </c>
      <c r="D344" s="31">
        <v>378.42</v>
      </c>
      <c r="E344" s="19">
        <v>45839</v>
      </c>
      <c r="F344" s="31">
        <v>1100</v>
      </c>
      <c r="G344" s="19">
        <v>44260</v>
      </c>
      <c r="H344" s="43">
        <v>19</v>
      </c>
      <c r="I344" s="43">
        <v>79</v>
      </c>
      <c r="J344" s="5" t="s">
        <v>828</v>
      </c>
      <c r="K344" s="5" t="s">
        <v>90</v>
      </c>
      <c r="L344" s="55">
        <v>2013</v>
      </c>
      <c r="M344" s="11" t="str">
        <f>HYPERLINK("http://www.securityscorecard.com", "www.securityscorecard.com")</f>
        <v>www.securityscorecard.com</v>
      </c>
      <c r="N344" s="11" t="str">
        <f>HYPERLINK("https://my.pitchbook.com?c=89490-70", "View Company Online")</f>
        <v>View Company Online</v>
      </c>
    </row>
    <row r="345" spans="1:14" x14ac:dyDescent="0.35">
      <c r="A345" s="6" t="s">
        <v>829</v>
      </c>
      <c r="B345" s="6" t="s">
        <v>39</v>
      </c>
      <c r="C345" s="6" t="s">
        <v>40</v>
      </c>
      <c r="D345" s="32">
        <v>377.22</v>
      </c>
      <c r="E345" s="20">
        <v>45952</v>
      </c>
      <c r="F345" s="32">
        <v>1049.8699999999999</v>
      </c>
      <c r="G345" s="20">
        <v>44550</v>
      </c>
      <c r="H345" s="44" t="s">
        <v>24</v>
      </c>
      <c r="I345" s="44" t="s">
        <v>24</v>
      </c>
      <c r="J345" s="6" t="s">
        <v>830</v>
      </c>
      <c r="K345" s="6" t="s">
        <v>219</v>
      </c>
      <c r="L345" s="56">
        <v>2018</v>
      </c>
      <c r="M345" s="12" t="str">
        <f>HYPERLINK("http://www.vastaitech.com", "www.vastaitech.com")</f>
        <v>www.vastaitech.com</v>
      </c>
      <c r="N345" s="12" t="str">
        <f>HYPERLINK("https://my.pitchbook.com?c=437243-77", "View Company Online")</f>
        <v>View Company Online</v>
      </c>
    </row>
    <row r="346" spans="1:14" x14ac:dyDescent="0.35">
      <c r="A346" s="5" t="s">
        <v>831</v>
      </c>
      <c r="B346" s="5" t="s">
        <v>26</v>
      </c>
      <c r="C346" s="5" t="s">
        <v>55</v>
      </c>
      <c r="D346" s="31">
        <v>376.79</v>
      </c>
      <c r="E346" s="19" t="s">
        <v>24</v>
      </c>
      <c r="F346" s="31">
        <v>514.92999999999995</v>
      </c>
      <c r="G346" s="19">
        <v>45617</v>
      </c>
      <c r="H346" s="43">
        <v>37</v>
      </c>
      <c r="I346" s="43">
        <v>55</v>
      </c>
      <c r="J346" s="5" t="s">
        <v>832</v>
      </c>
      <c r="K346" s="5" t="s">
        <v>833</v>
      </c>
      <c r="L346" s="55">
        <v>2015</v>
      </c>
      <c r="M346" s="11" t="str">
        <f>HYPERLINK("http://www.ampsortation.com", "www.ampsortation.com")</f>
        <v>www.ampsortation.com</v>
      </c>
      <c r="N346" s="11" t="str">
        <f>HYPERLINK("https://my.pitchbook.com?c=172127-35", "View Company Online")</f>
        <v>View Company Online</v>
      </c>
    </row>
    <row r="347" spans="1:14" x14ac:dyDescent="0.35">
      <c r="A347" s="6" t="s">
        <v>834</v>
      </c>
      <c r="B347" s="6" t="s">
        <v>15</v>
      </c>
      <c r="C347" s="6" t="s">
        <v>16</v>
      </c>
      <c r="D347" s="32">
        <v>375.13</v>
      </c>
      <c r="E347" s="20">
        <v>45778</v>
      </c>
      <c r="F347" s="32">
        <v>775</v>
      </c>
      <c r="G347" s="20">
        <v>45778</v>
      </c>
      <c r="H347" s="44">
        <v>1</v>
      </c>
      <c r="I347" s="44">
        <v>97</v>
      </c>
      <c r="J347" s="6" t="s">
        <v>835</v>
      </c>
      <c r="K347" s="6" t="s">
        <v>90</v>
      </c>
      <c r="L347" s="56">
        <v>2015</v>
      </c>
      <c r="M347" s="12" t="str">
        <f>HYPERLINK("http://www.astronomer.io", "www.astronomer.io")</f>
        <v>www.astronomer.io</v>
      </c>
      <c r="N347" s="12" t="str">
        <f>HYPERLINK("https://my.pitchbook.com?c=120275-56", "View Company Online")</f>
        <v>View Company Online</v>
      </c>
    </row>
    <row r="348" spans="1:14" x14ac:dyDescent="0.35">
      <c r="A348" s="5" t="s">
        <v>836</v>
      </c>
      <c r="B348" s="5" t="s">
        <v>15</v>
      </c>
      <c r="C348" s="5" t="s">
        <v>16</v>
      </c>
      <c r="D348" s="31">
        <v>375</v>
      </c>
      <c r="E348" s="19">
        <v>45980</v>
      </c>
      <c r="F348" s="31">
        <v>2450</v>
      </c>
      <c r="G348" s="19">
        <v>45980</v>
      </c>
      <c r="H348" s="43">
        <v>40</v>
      </c>
      <c r="I348" s="43">
        <v>51</v>
      </c>
      <c r="J348" s="5" t="s">
        <v>837</v>
      </c>
      <c r="K348" s="5" t="s">
        <v>549</v>
      </c>
      <c r="L348" s="55">
        <v>2022</v>
      </c>
      <c r="M348" s="11" t="str">
        <f>HYPERLINK("http://www.suno.com", "www.suno.com")</f>
        <v>www.suno.com</v>
      </c>
      <c r="N348" s="11" t="str">
        <f>HYPERLINK("https://my.pitchbook.com?c=512734-06", "View Company Online")</f>
        <v>View Company Online</v>
      </c>
    </row>
    <row r="349" spans="1:14" x14ac:dyDescent="0.35">
      <c r="A349" s="6" t="s">
        <v>838</v>
      </c>
      <c r="B349" s="6" t="s">
        <v>15</v>
      </c>
      <c r="C349" s="6" t="s">
        <v>22</v>
      </c>
      <c r="D349" s="32">
        <v>370.75</v>
      </c>
      <c r="E349" s="20">
        <v>45586</v>
      </c>
      <c r="F349" s="32">
        <v>2200</v>
      </c>
      <c r="G349" s="20">
        <v>45586</v>
      </c>
      <c r="H349" s="44">
        <v>61</v>
      </c>
      <c r="I349" s="44">
        <v>29</v>
      </c>
      <c r="J349" s="6" t="s">
        <v>839</v>
      </c>
      <c r="K349" s="6" t="s">
        <v>18</v>
      </c>
      <c r="L349" s="56">
        <v>2020</v>
      </c>
      <c r="M349" s="12" t="str">
        <f>HYPERLINK("http://www.ziphq.com", "www.ziphq.com")</f>
        <v>www.ziphq.com</v>
      </c>
      <c r="N349" s="12" t="str">
        <f>HYPERLINK("https://my.pitchbook.com?c=438505-84", "View Company Online")</f>
        <v>View Company Online</v>
      </c>
    </row>
    <row r="350" spans="1:14" x14ac:dyDescent="0.35">
      <c r="A350" s="5" t="s">
        <v>840</v>
      </c>
      <c r="B350" s="6" t="s">
        <v>1192</v>
      </c>
      <c r="C350" s="5" t="s">
        <v>159</v>
      </c>
      <c r="D350" s="31">
        <v>369.86</v>
      </c>
      <c r="E350" s="19">
        <v>46028</v>
      </c>
      <c r="F350" s="31">
        <v>205</v>
      </c>
      <c r="G350" s="19">
        <v>43184</v>
      </c>
      <c r="H350" s="43" t="s">
        <v>24</v>
      </c>
      <c r="I350" s="43" t="s">
        <v>24</v>
      </c>
      <c r="J350" s="5" t="s">
        <v>841</v>
      </c>
      <c r="K350" s="5" t="s">
        <v>400</v>
      </c>
      <c r="L350" s="55">
        <v>2015</v>
      </c>
      <c r="M350" s="11" t="str">
        <f>HYPERLINK("http://www.brainco.tech", "www.brainco.tech")</f>
        <v>www.brainco.tech</v>
      </c>
      <c r="N350" s="11" t="str">
        <f>HYPERLINK("https://my.pitchbook.com?c=167903-11", "View Company Online")</f>
        <v>View Company Online</v>
      </c>
    </row>
    <row r="351" spans="1:14" x14ac:dyDescent="0.35">
      <c r="A351" s="6" t="s">
        <v>842</v>
      </c>
      <c r="B351" s="6" t="s">
        <v>1192</v>
      </c>
      <c r="C351" s="6" t="s">
        <v>36</v>
      </c>
      <c r="D351" s="32">
        <v>369.19</v>
      </c>
      <c r="E351" s="20">
        <v>45707</v>
      </c>
      <c r="F351" s="32">
        <v>1075</v>
      </c>
      <c r="G351" s="20">
        <v>45707</v>
      </c>
      <c r="H351" s="44">
        <v>53</v>
      </c>
      <c r="I351" s="44">
        <v>45</v>
      </c>
      <c r="J351" s="6" t="s">
        <v>843</v>
      </c>
      <c r="K351" s="6" t="s">
        <v>90</v>
      </c>
      <c r="L351" s="56">
        <v>2011</v>
      </c>
      <c r="M351" s="12" t="str">
        <f>HYPERLINK("http://www.augury.com", "www.augury.com")</f>
        <v>www.augury.com</v>
      </c>
      <c r="N351" s="12" t="str">
        <f>HYPERLINK("https://my.pitchbook.com?c=82952-56", "View Company Online")</f>
        <v>View Company Online</v>
      </c>
    </row>
    <row r="352" spans="1:14" x14ac:dyDescent="0.35">
      <c r="A352" s="5" t="s">
        <v>844</v>
      </c>
      <c r="B352" s="6" t="s">
        <v>1192</v>
      </c>
      <c r="C352" s="5" t="s">
        <v>159</v>
      </c>
      <c r="D352" s="31">
        <v>366.53</v>
      </c>
      <c r="E352" s="19">
        <v>45737</v>
      </c>
      <c r="F352" s="31">
        <v>628.74</v>
      </c>
      <c r="G352" s="19">
        <v>45161</v>
      </c>
      <c r="H352" s="43">
        <v>13</v>
      </c>
      <c r="I352" s="43">
        <v>85</v>
      </c>
      <c r="J352" s="5" t="s">
        <v>845</v>
      </c>
      <c r="K352" s="5" t="s">
        <v>18</v>
      </c>
      <c r="L352" s="55">
        <v>2008</v>
      </c>
      <c r="M352" s="11" t="str">
        <f>HYPERLINK("http://www.veranahealth.com", "www.veranahealth.com")</f>
        <v>www.veranahealth.com</v>
      </c>
      <c r="N352" s="11" t="str">
        <f>HYPERLINK("https://my.pitchbook.com?c=86194-99", "View Company Online")</f>
        <v>View Company Online</v>
      </c>
    </row>
    <row r="353" spans="1:14" x14ac:dyDescent="0.35">
      <c r="A353" s="6" t="s">
        <v>846</v>
      </c>
      <c r="B353" s="6" t="s">
        <v>15</v>
      </c>
      <c r="C353" s="6" t="s">
        <v>16</v>
      </c>
      <c r="D353" s="32">
        <v>365.88</v>
      </c>
      <c r="E353" s="20" t="s">
        <v>24</v>
      </c>
      <c r="F353" s="32">
        <v>4000</v>
      </c>
      <c r="G353" s="20">
        <v>45149</v>
      </c>
      <c r="H353" s="44">
        <v>69</v>
      </c>
      <c r="I353" s="44">
        <v>8</v>
      </c>
      <c r="J353" s="6" t="s">
        <v>847</v>
      </c>
      <c r="K353" s="6" t="s">
        <v>18</v>
      </c>
      <c r="L353" s="56">
        <v>2013</v>
      </c>
      <c r="M353" s="12" t="str">
        <f>HYPERLINK("http://www.thehive.ai", "www.thehive.ai")</f>
        <v>www.thehive.ai</v>
      </c>
      <c r="N353" s="12" t="str">
        <f>HYPERLINK("https://my.pitchbook.com?c=58287-07", "View Company Online")</f>
        <v>View Company Online</v>
      </c>
    </row>
    <row r="354" spans="1:14" x14ac:dyDescent="0.35">
      <c r="A354" s="5" t="s">
        <v>848</v>
      </c>
      <c r="B354" s="5" t="s">
        <v>39</v>
      </c>
      <c r="C354" s="5" t="s">
        <v>40</v>
      </c>
      <c r="D354" s="31">
        <v>365.59</v>
      </c>
      <c r="E354" s="19" t="s">
        <v>24</v>
      </c>
      <c r="F354" s="31">
        <v>2500</v>
      </c>
      <c r="G354" s="19">
        <v>44636</v>
      </c>
      <c r="H354" s="43">
        <v>5</v>
      </c>
      <c r="I354" s="43">
        <v>92</v>
      </c>
      <c r="J354" s="5" t="s">
        <v>849</v>
      </c>
      <c r="K354" s="5" t="s">
        <v>62</v>
      </c>
      <c r="L354" s="55">
        <v>2015</v>
      </c>
      <c r="M354" s="11" t="str">
        <f>HYPERLINK("http://www.sifive.com", "www.sifive.com")</f>
        <v>www.sifive.com</v>
      </c>
      <c r="N354" s="11" t="str">
        <f>HYPERLINK("https://my.pitchbook.com?c=151331-77", "View Company Online")</f>
        <v>View Company Online</v>
      </c>
    </row>
    <row r="355" spans="1:14" x14ac:dyDescent="0.35">
      <c r="A355" s="6" t="s">
        <v>850</v>
      </c>
      <c r="B355" s="6" t="s">
        <v>26</v>
      </c>
      <c r="C355" s="6" t="s">
        <v>55</v>
      </c>
      <c r="D355" s="32">
        <v>364.65</v>
      </c>
      <c r="E355" s="20">
        <v>46064</v>
      </c>
      <c r="F355" s="32">
        <v>688.02</v>
      </c>
      <c r="G355" s="20">
        <v>45750</v>
      </c>
      <c r="H355" s="44" t="s">
        <v>24</v>
      </c>
      <c r="I355" s="44" t="s">
        <v>24</v>
      </c>
      <c r="J355" s="6" t="s">
        <v>851</v>
      </c>
      <c r="K355" s="6" t="s">
        <v>34</v>
      </c>
      <c r="L355" s="56">
        <v>2023</v>
      </c>
      <c r="M355" s="12" t="str">
        <f>HYPERLINK("http://galaxea.ai", "galaxea.ai")</f>
        <v>galaxea.ai</v>
      </c>
      <c r="N355" s="12" t="str">
        <f>HYPERLINK("https://my.pitchbook.com?c=540003-61", "View Company Online")</f>
        <v>View Company Online</v>
      </c>
    </row>
    <row r="356" spans="1:14" x14ac:dyDescent="0.35">
      <c r="A356" s="5" t="s">
        <v>852</v>
      </c>
      <c r="B356" s="6" t="s">
        <v>1192</v>
      </c>
      <c r="C356" s="5" t="s">
        <v>159</v>
      </c>
      <c r="D356" s="31">
        <v>364.16</v>
      </c>
      <c r="E356" s="19">
        <v>45558</v>
      </c>
      <c r="F356" s="31">
        <v>1108</v>
      </c>
      <c r="G356" s="19">
        <v>45558</v>
      </c>
      <c r="H356" s="43">
        <v>51</v>
      </c>
      <c r="I356" s="43">
        <v>22</v>
      </c>
      <c r="J356" s="5" t="s">
        <v>853</v>
      </c>
      <c r="K356" s="5" t="s">
        <v>197</v>
      </c>
      <c r="L356" s="55">
        <v>2012</v>
      </c>
      <c r="M356" s="11" t="str">
        <f>HYPERLINK("http://www.evidation.com", "www.evidation.com")</f>
        <v>www.evidation.com</v>
      </c>
      <c r="N356" s="11" t="str">
        <f>HYPERLINK("https://my.pitchbook.com?c=107171-56", "View Company Online")</f>
        <v>View Company Online</v>
      </c>
    </row>
    <row r="357" spans="1:14" x14ac:dyDescent="0.35">
      <c r="A357" s="6" t="s">
        <v>854</v>
      </c>
      <c r="B357" s="6" t="s">
        <v>1192</v>
      </c>
      <c r="C357" s="6" t="s">
        <v>44</v>
      </c>
      <c r="D357" s="32">
        <v>364.1</v>
      </c>
      <c r="E357" s="20">
        <v>45932</v>
      </c>
      <c r="F357" s="32">
        <v>2000</v>
      </c>
      <c r="G357" s="20">
        <v>45932</v>
      </c>
      <c r="H357" s="44">
        <v>46</v>
      </c>
      <c r="I357" s="44">
        <v>52</v>
      </c>
      <c r="J357" s="6" t="s">
        <v>855</v>
      </c>
      <c r="K357" s="6" t="s">
        <v>856</v>
      </c>
      <c r="L357" s="56">
        <v>2011</v>
      </c>
      <c r="M357" s="12" t="str">
        <f>HYPERLINK("http://www.feedzai.com", "www.feedzai.com")</f>
        <v>www.feedzai.com</v>
      </c>
      <c r="N357" s="12" t="str">
        <f>HYPERLINK("https://my.pitchbook.com?c=55245-88", "View Company Online")</f>
        <v>View Company Online</v>
      </c>
    </row>
    <row r="358" spans="1:14" x14ac:dyDescent="0.35">
      <c r="A358" s="5" t="s">
        <v>857</v>
      </c>
      <c r="B358" s="5" t="s">
        <v>15</v>
      </c>
      <c r="C358" s="5" t="s">
        <v>501</v>
      </c>
      <c r="D358" s="31">
        <v>363.62</v>
      </c>
      <c r="E358" s="19">
        <v>45615</v>
      </c>
      <c r="F358" s="31">
        <v>2095</v>
      </c>
      <c r="G358" s="19">
        <v>45615</v>
      </c>
      <c r="H358" s="43">
        <v>21</v>
      </c>
      <c r="I358" s="43">
        <v>77</v>
      </c>
      <c r="J358" s="5" t="s">
        <v>858</v>
      </c>
      <c r="K358" s="5" t="s">
        <v>18</v>
      </c>
      <c r="L358" s="55">
        <v>2009</v>
      </c>
      <c r="M358" s="11" t="str">
        <f>HYPERLINK("http://www.konghq.com", "www.konghq.com")</f>
        <v>www.konghq.com</v>
      </c>
      <c r="N358" s="11" t="str">
        <f>HYPERLINK("https://my.pitchbook.com?c=52738-12", "View Company Online")</f>
        <v>View Company Online</v>
      </c>
    </row>
    <row r="359" spans="1:14" x14ac:dyDescent="0.35">
      <c r="A359" s="6" t="s">
        <v>859</v>
      </c>
      <c r="B359" s="6" t="s">
        <v>1192</v>
      </c>
      <c r="C359" s="6" t="s">
        <v>74</v>
      </c>
      <c r="D359" s="32">
        <v>362.16</v>
      </c>
      <c r="E359" s="20">
        <v>45672</v>
      </c>
      <c r="F359" s="32">
        <v>1440</v>
      </c>
      <c r="G359" s="20">
        <v>45672</v>
      </c>
      <c r="H359" s="44">
        <v>35</v>
      </c>
      <c r="I359" s="44">
        <v>57</v>
      </c>
      <c r="J359" s="6" t="s">
        <v>860</v>
      </c>
      <c r="K359" s="6" t="s">
        <v>135</v>
      </c>
      <c r="L359" s="56">
        <v>2015</v>
      </c>
      <c r="M359" s="12" t="str">
        <f>HYPERLINK("http://www.netradyne.com", "www.netradyne.com")</f>
        <v>www.netradyne.com</v>
      </c>
      <c r="N359" s="12" t="str">
        <f>HYPERLINK("https://my.pitchbook.com?c=160708-60", "View Company Online")</f>
        <v>View Company Online</v>
      </c>
    </row>
    <row r="360" spans="1:14" x14ac:dyDescent="0.35">
      <c r="A360" s="5" t="s">
        <v>861</v>
      </c>
      <c r="B360" s="6" t="s">
        <v>1192</v>
      </c>
      <c r="C360" s="5" t="s">
        <v>31</v>
      </c>
      <c r="D360" s="31">
        <v>362.11</v>
      </c>
      <c r="E360" s="19">
        <v>45434</v>
      </c>
      <c r="F360" s="31">
        <v>750</v>
      </c>
      <c r="G360" s="19">
        <v>43483</v>
      </c>
      <c r="H360" s="43">
        <v>60</v>
      </c>
      <c r="I360" s="43">
        <v>38</v>
      </c>
      <c r="J360" s="5" t="s">
        <v>862</v>
      </c>
      <c r="K360" s="5" t="s">
        <v>863</v>
      </c>
      <c r="L360" s="55">
        <v>2008</v>
      </c>
      <c r="M360" s="11" t="str">
        <f>HYPERLINK("http://www.hootsuite.com", "www.hootsuite.com")</f>
        <v>www.hootsuite.com</v>
      </c>
      <c r="N360" s="11" t="str">
        <f>HYPERLINK("https://my.pitchbook.com?c=52275-43", "View Company Online")</f>
        <v>View Company Online</v>
      </c>
    </row>
    <row r="361" spans="1:14" x14ac:dyDescent="0.35">
      <c r="A361" s="6" t="s">
        <v>864</v>
      </c>
      <c r="B361" s="6" t="s">
        <v>1192</v>
      </c>
      <c r="C361" s="6" t="s">
        <v>44</v>
      </c>
      <c r="D361" s="32">
        <v>361.48</v>
      </c>
      <c r="E361" s="20">
        <v>45809</v>
      </c>
      <c r="F361" s="32">
        <v>1120</v>
      </c>
      <c r="G361" s="20">
        <v>44313</v>
      </c>
      <c r="H361" s="44">
        <v>85</v>
      </c>
      <c r="I361" s="44">
        <v>13</v>
      </c>
      <c r="J361" s="6" t="s">
        <v>865</v>
      </c>
      <c r="K361" s="6" t="s">
        <v>79</v>
      </c>
      <c r="L361" s="56">
        <v>2010</v>
      </c>
      <c r="M361" s="12" t="str">
        <f>HYPERLINK("http://www.vectra.ai", "www.vectra.ai")</f>
        <v>www.vectra.ai</v>
      </c>
      <c r="N361" s="12" t="str">
        <f>HYPERLINK("https://my.pitchbook.com?c=53571-16", "View Company Online")</f>
        <v>View Company Online</v>
      </c>
    </row>
    <row r="362" spans="1:14" x14ac:dyDescent="0.35">
      <c r="A362" s="5" t="s">
        <v>866</v>
      </c>
      <c r="B362" s="6" t="s">
        <v>1192</v>
      </c>
      <c r="C362" s="5" t="s">
        <v>31</v>
      </c>
      <c r="D362" s="31">
        <v>361.09</v>
      </c>
      <c r="E362" s="19">
        <v>44593</v>
      </c>
      <c r="F362" s="31">
        <v>1788.81</v>
      </c>
      <c r="G362" s="19">
        <v>44458</v>
      </c>
      <c r="H362" s="43">
        <v>76</v>
      </c>
      <c r="I362" s="43">
        <v>12</v>
      </c>
      <c r="J362" s="5" t="s">
        <v>867</v>
      </c>
      <c r="K362" s="5" t="s">
        <v>868</v>
      </c>
      <c r="L362" s="55">
        <v>2013</v>
      </c>
      <c r="M362" s="11" t="str">
        <f>HYPERLINK("http://www.lightricks.com", "www.lightricks.com")</f>
        <v>www.lightricks.com</v>
      </c>
      <c r="N362" s="11" t="str">
        <f>HYPERLINK("https://my.pitchbook.com?c=101978-65", "View Company Online")</f>
        <v>View Company Online</v>
      </c>
    </row>
    <row r="363" spans="1:14" x14ac:dyDescent="0.35">
      <c r="A363" s="6" t="s">
        <v>869</v>
      </c>
      <c r="B363" s="6" t="s">
        <v>1192</v>
      </c>
      <c r="C363" s="6" t="s">
        <v>44</v>
      </c>
      <c r="D363" s="32">
        <v>361</v>
      </c>
      <c r="E363" s="20">
        <v>45085</v>
      </c>
      <c r="F363" s="32" t="s">
        <v>24</v>
      </c>
      <c r="G363" s="20" t="s">
        <v>24</v>
      </c>
      <c r="H363" s="44">
        <v>61</v>
      </c>
      <c r="I363" s="44">
        <v>18</v>
      </c>
      <c r="J363" s="6" t="s">
        <v>870</v>
      </c>
      <c r="K363" s="6" t="s">
        <v>871</v>
      </c>
      <c r="L363" s="56">
        <v>2015</v>
      </c>
      <c r="M363" s="12" t="str">
        <f>HYPERLINK("http://www.bespinglobal.com", "www.bespinglobal.com")</f>
        <v>www.bespinglobal.com</v>
      </c>
      <c r="N363" s="12" t="str">
        <f>HYPERLINK("https://my.pitchbook.com?c=174172-51", "View Company Online")</f>
        <v>View Company Online</v>
      </c>
    </row>
    <row r="364" spans="1:14" x14ac:dyDescent="0.35">
      <c r="A364" s="5" t="s">
        <v>872</v>
      </c>
      <c r="B364" s="5" t="s">
        <v>26</v>
      </c>
      <c r="C364" s="5" t="s">
        <v>27</v>
      </c>
      <c r="D364" s="31">
        <v>359.64</v>
      </c>
      <c r="E364" s="19" t="s">
        <v>875</v>
      </c>
      <c r="F364" s="31">
        <v>1037.77</v>
      </c>
      <c r="G364" s="19">
        <v>44927</v>
      </c>
      <c r="H364" s="43">
        <v>37</v>
      </c>
      <c r="I364" s="43">
        <v>61</v>
      </c>
      <c r="J364" s="5" t="s">
        <v>873</v>
      </c>
      <c r="K364" s="5" t="s">
        <v>874</v>
      </c>
      <c r="L364" s="55">
        <v>2014</v>
      </c>
      <c r="M364" s="11" t="str">
        <f>HYPERLINK("http://www.oxa.tech", "www.oxa.tech")</f>
        <v>www.oxa.tech</v>
      </c>
      <c r="N364" s="11" t="str">
        <f>HYPERLINK("https://my.pitchbook.com?c=159934-33", "View Company Online")</f>
        <v>View Company Online</v>
      </c>
    </row>
    <row r="365" spans="1:14" x14ac:dyDescent="0.35">
      <c r="A365" s="6" t="s">
        <v>876</v>
      </c>
      <c r="B365" s="6" t="s">
        <v>1192</v>
      </c>
      <c r="C365" s="6" t="s">
        <v>159</v>
      </c>
      <c r="D365" s="32">
        <v>359.6</v>
      </c>
      <c r="E365" s="20">
        <v>46054</v>
      </c>
      <c r="F365" s="32">
        <v>1274.68</v>
      </c>
      <c r="G365" s="20">
        <v>45489</v>
      </c>
      <c r="H365" s="44">
        <v>44</v>
      </c>
      <c r="I365" s="44">
        <v>54</v>
      </c>
      <c r="J365" s="6" t="s">
        <v>877</v>
      </c>
      <c r="K365" s="6" t="s">
        <v>68</v>
      </c>
      <c r="L365" s="56">
        <v>2011</v>
      </c>
      <c r="M365" s="12" t="str">
        <f>HYPERLINK("http://www.huma.com", "www.huma.com")</f>
        <v>www.huma.com</v>
      </c>
      <c r="N365" s="12" t="str">
        <f>HYPERLINK("https://my.pitchbook.com?c=60369-13", "View Company Online")</f>
        <v>View Company Online</v>
      </c>
    </row>
    <row r="366" spans="1:14" x14ac:dyDescent="0.35">
      <c r="A366" s="5" t="s">
        <v>878</v>
      </c>
      <c r="B366" s="6" t="s">
        <v>1192</v>
      </c>
      <c r="C366" s="5" t="s">
        <v>44</v>
      </c>
      <c r="D366" s="31">
        <v>357.5</v>
      </c>
      <c r="E366" s="19">
        <v>45587</v>
      </c>
      <c r="F366" s="31">
        <v>1138.3</v>
      </c>
      <c r="G366" s="19">
        <v>44215</v>
      </c>
      <c r="H366" s="43">
        <v>82</v>
      </c>
      <c r="I366" s="43">
        <v>6</v>
      </c>
      <c r="J366" s="5" t="s">
        <v>879</v>
      </c>
      <c r="K366" s="5" t="s">
        <v>83</v>
      </c>
      <c r="L366" s="55">
        <v>2015</v>
      </c>
      <c r="M366" s="11" t="str">
        <f>HYPERLINK("http://www.globality.com", "www.globality.com")</f>
        <v>www.globality.com</v>
      </c>
      <c r="N366" s="11" t="str">
        <f>HYPERLINK("https://my.pitchbook.com?c=124490-62", "View Company Online")</f>
        <v>View Company Online</v>
      </c>
    </row>
    <row r="367" spans="1:14" x14ac:dyDescent="0.35">
      <c r="A367" s="6" t="s">
        <v>880</v>
      </c>
      <c r="B367" s="6" t="s">
        <v>39</v>
      </c>
      <c r="C367" s="6" t="s">
        <v>881</v>
      </c>
      <c r="D367" s="32">
        <v>355.3</v>
      </c>
      <c r="E367" s="20">
        <v>45856</v>
      </c>
      <c r="F367" s="32">
        <v>960</v>
      </c>
      <c r="G367" s="20">
        <v>45856</v>
      </c>
      <c r="H367" s="44">
        <v>39</v>
      </c>
      <c r="I367" s="44">
        <v>59</v>
      </c>
      <c r="J367" s="6" t="s">
        <v>882</v>
      </c>
      <c r="K367" s="6" t="s">
        <v>79</v>
      </c>
      <c r="L367" s="56">
        <v>2018</v>
      </c>
      <c r="M367" s="12" t="str">
        <f>HYPERLINK("http://www.sima.ai", "www.sima.ai")</f>
        <v>www.sima.ai</v>
      </c>
      <c r="N367" s="12" t="str">
        <f>HYPERLINK("https://my.pitchbook.com?c=433619-29", "View Company Online")</f>
        <v>View Company Online</v>
      </c>
    </row>
    <row r="368" spans="1:14" x14ac:dyDescent="0.35">
      <c r="A368" s="5" t="s">
        <v>883</v>
      </c>
      <c r="B368" s="6" t="s">
        <v>1192</v>
      </c>
      <c r="C368" s="5" t="s">
        <v>159</v>
      </c>
      <c r="D368" s="31">
        <v>352.96</v>
      </c>
      <c r="E368" s="19">
        <v>44656</v>
      </c>
      <c r="F368" s="31">
        <v>1500</v>
      </c>
      <c r="G368" s="19">
        <v>44656</v>
      </c>
      <c r="H368" s="43">
        <v>17</v>
      </c>
      <c r="I368" s="43">
        <v>77</v>
      </c>
      <c r="J368" s="5" t="s">
        <v>884</v>
      </c>
      <c r="K368" s="5" t="s">
        <v>18</v>
      </c>
      <c r="L368" s="55">
        <v>2015</v>
      </c>
      <c r="M368" s="11" t="str">
        <f>HYPERLINK("http://www.clarifyhealth.com", "www.clarifyhealth.com")</f>
        <v>www.clarifyhealth.com</v>
      </c>
      <c r="N368" s="11" t="str">
        <f>HYPERLINK("https://my.pitchbook.com?c=160476-67", "View Company Online")</f>
        <v>View Company Online</v>
      </c>
    </row>
    <row r="369" spans="1:14" x14ac:dyDescent="0.35">
      <c r="A369" s="6" t="s">
        <v>885</v>
      </c>
      <c r="B369" s="6" t="s">
        <v>15</v>
      </c>
      <c r="C369" s="6" t="s">
        <v>156</v>
      </c>
      <c r="D369" s="32">
        <v>351.6</v>
      </c>
      <c r="E369" s="20">
        <v>45292</v>
      </c>
      <c r="F369" s="32">
        <v>1000</v>
      </c>
      <c r="G369" s="20">
        <v>44271</v>
      </c>
      <c r="H369" s="44">
        <v>14</v>
      </c>
      <c r="I369" s="44">
        <v>84</v>
      </c>
      <c r="J369" s="6" t="s">
        <v>886</v>
      </c>
      <c r="K369" s="6" t="s">
        <v>253</v>
      </c>
      <c r="L369" s="56">
        <v>2007</v>
      </c>
      <c r="M369" s="12" t="str">
        <f>HYPERLINK("http://www.patsnap.com", "www.patsnap.com")</f>
        <v>www.patsnap.com</v>
      </c>
      <c r="N369" s="12" t="str">
        <f>HYPERLINK("https://my.pitchbook.com?c=90827-11", "View Company Online")</f>
        <v>View Company Online</v>
      </c>
    </row>
    <row r="370" spans="1:14" x14ac:dyDescent="0.35">
      <c r="A370" s="5" t="s">
        <v>887</v>
      </c>
      <c r="B370" s="6" t="s">
        <v>1192</v>
      </c>
      <c r="C370" s="5" t="s">
        <v>159</v>
      </c>
      <c r="D370" s="31">
        <v>350.33</v>
      </c>
      <c r="E370" s="19">
        <v>45679</v>
      </c>
      <c r="F370" s="31">
        <v>1800</v>
      </c>
      <c r="G370" s="19">
        <v>45679</v>
      </c>
      <c r="H370" s="43">
        <v>41</v>
      </c>
      <c r="I370" s="43">
        <v>19</v>
      </c>
      <c r="J370" s="5" t="s">
        <v>888</v>
      </c>
      <c r="K370" s="5" t="s">
        <v>331</v>
      </c>
      <c r="L370" s="55">
        <v>2018</v>
      </c>
      <c r="M370" s="11" t="str">
        <f>HYPERLINK("http://www.nekohealth.com", "www.nekohealth.com")</f>
        <v>www.nekohealth.com</v>
      </c>
      <c r="N370" s="11" t="str">
        <f>HYPERLINK("https://my.pitchbook.com?c=513258-13", "View Company Online")</f>
        <v>View Company Online</v>
      </c>
    </row>
    <row r="371" spans="1:14" x14ac:dyDescent="0.35">
      <c r="A371" s="6" t="s">
        <v>889</v>
      </c>
      <c r="B371" s="6" t="s">
        <v>26</v>
      </c>
      <c r="C371" s="6" t="s">
        <v>55</v>
      </c>
      <c r="D371" s="32">
        <v>350</v>
      </c>
      <c r="E371" s="20">
        <v>46057</v>
      </c>
      <c r="F371" s="32">
        <v>1750</v>
      </c>
      <c r="G371" s="20">
        <v>46057</v>
      </c>
      <c r="H371" s="44">
        <v>48</v>
      </c>
      <c r="I371" s="44">
        <v>50</v>
      </c>
      <c r="J371" s="6" t="s">
        <v>890</v>
      </c>
      <c r="K371" s="6" t="s">
        <v>18</v>
      </c>
      <c r="L371" s="56">
        <v>2024</v>
      </c>
      <c r="M371" s="12" t="str">
        <f>HYPERLINK("http://www.bedrockrobotics.com", "www.bedrockrobotics.com")</f>
        <v>www.bedrockrobotics.com</v>
      </c>
      <c r="N371" s="12" t="str">
        <f>HYPERLINK("https://my.pitchbook.com?c=506698-21", "View Company Online")</f>
        <v>View Company Online</v>
      </c>
    </row>
    <row r="372" spans="1:14" x14ac:dyDescent="0.35">
      <c r="A372" s="5" t="s">
        <v>891</v>
      </c>
      <c r="B372" s="5" t="s">
        <v>26</v>
      </c>
      <c r="C372" s="5" t="s">
        <v>55</v>
      </c>
      <c r="D372" s="31">
        <v>345.87</v>
      </c>
      <c r="E372" s="19">
        <v>46027</v>
      </c>
      <c r="F372" s="31">
        <v>1647</v>
      </c>
      <c r="G372" s="19">
        <v>46027</v>
      </c>
      <c r="H372" s="43">
        <v>2</v>
      </c>
      <c r="I372" s="43">
        <v>96</v>
      </c>
      <c r="J372" s="5" t="s">
        <v>892</v>
      </c>
      <c r="K372" s="5" t="s">
        <v>112</v>
      </c>
      <c r="L372" s="55">
        <v>2013</v>
      </c>
      <c r="M372" s="11" t="str">
        <f>HYPERLINK("http://www.geckorobotics.com", "www.geckorobotics.com")</f>
        <v>www.geckorobotics.com</v>
      </c>
      <c r="N372" s="11" t="str">
        <f>HYPERLINK("https://my.pitchbook.com?c=155872-18", "View Company Online")</f>
        <v>View Company Online</v>
      </c>
    </row>
    <row r="373" spans="1:14" x14ac:dyDescent="0.35">
      <c r="A373" s="6" t="s">
        <v>893</v>
      </c>
      <c r="B373" s="6" t="s">
        <v>15</v>
      </c>
      <c r="C373" s="6" t="s">
        <v>22</v>
      </c>
      <c r="D373" s="32">
        <v>345.56</v>
      </c>
      <c r="E373" s="20">
        <v>45825</v>
      </c>
      <c r="F373" s="32">
        <v>1000</v>
      </c>
      <c r="G373" s="20">
        <v>45825</v>
      </c>
      <c r="H373" s="44">
        <v>79</v>
      </c>
      <c r="I373" s="44">
        <v>19</v>
      </c>
      <c r="J373" s="6" t="s">
        <v>894</v>
      </c>
      <c r="K373" s="6" t="s">
        <v>122</v>
      </c>
      <c r="L373" s="56">
        <v>2014</v>
      </c>
      <c r="M373" s="12" t="str">
        <f>HYPERLINK("http://www.coralogix.com", "www.coralogix.com")</f>
        <v>www.coralogix.com</v>
      </c>
      <c r="N373" s="12" t="str">
        <f>HYPERLINK("https://my.pitchbook.com?c=83816-92", "View Company Online")</f>
        <v>View Company Online</v>
      </c>
    </row>
    <row r="374" spans="1:14" x14ac:dyDescent="0.35">
      <c r="A374" s="5" t="s">
        <v>895</v>
      </c>
      <c r="B374" s="6" t="s">
        <v>1192</v>
      </c>
      <c r="C374" s="5" t="s">
        <v>159</v>
      </c>
      <c r="D374" s="31">
        <v>345.33</v>
      </c>
      <c r="E374" s="19">
        <v>45910</v>
      </c>
      <c r="F374" s="31">
        <v>500</v>
      </c>
      <c r="G374" s="19">
        <v>44595</v>
      </c>
      <c r="H374" s="43">
        <v>27</v>
      </c>
      <c r="I374" s="43">
        <v>55</v>
      </c>
      <c r="J374" s="5" t="s">
        <v>896</v>
      </c>
      <c r="K374" s="5" t="s">
        <v>122</v>
      </c>
      <c r="L374" s="55">
        <v>2018</v>
      </c>
      <c r="M374" s="11" t="str">
        <f>HYPERLINK("http://www.dewpointx.com", "www.dewpointx.com")</f>
        <v>www.dewpointx.com</v>
      </c>
      <c r="N374" s="11" t="str">
        <f>HYPERLINK("https://my.pitchbook.com?c=265073-68", "View Company Online")</f>
        <v>View Company Online</v>
      </c>
    </row>
    <row r="375" spans="1:14" x14ac:dyDescent="0.35">
      <c r="A375" s="6" t="s">
        <v>897</v>
      </c>
      <c r="B375" s="6" t="s">
        <v>1192</v>
      </c>
      <c r="C375" s="6" t="s">
        <v>159</v>
      </c>
      <c r="D375" s="32">
        <v>344.2</v>
      </c>
      <c r="E375" s="20">
        <v>45867</v>
      </c>
      <c r="F375" s="32">
        <v>1250</v>
      </c>
      <c r="G375" s="20">
        <v>45867</v>
      </c>
      <c r="H375" s="44">
        <v>29</v>
      </c>
      <c r="I375" s="44">
        <v>42</v>
      </c>
      <c r="J375" s="6" t="s">
        <v>898</v>
      </c>
      <c r="K375" s="6" t="s">
        <v>18</v>
      </c>
      <c r="L375" s="56">
        <v>2020</v>
      </c>
      <c r="M375" s="12" t="str">
        <f>HYPERLINK("http://www.ambiencehealthcare.com", "www.ambiencehealthcare.com")</f>
        <v>www.ambiencehealthcare.com</v>
      </c>
      <c r="N375" s="12" t="str">
        <f>HYPERLINK("https://my.pitchbook.com?c=442685-89", "View Company Online")</f>
        <v>View Company Online</v>
      </c>
    </row>
    <row r="376" spans="1:14" x14ac:dyDescent="0.35">
      <c r="A376" s="5" t="s">
        <v>899</v>
      </c>
      <c r="B376" s="6" t="s">
        <v>1192</v>
      </c>
      <c r="C376" s="5" t="s">
        <v>36</v>
      </c>
      <c r="D376" s="31">
        <v>344.1</v>
      </c>
      <c r="E376" s="19">
        <v>45884</v>
      </c>
      <c r="F376" s="31">
        <v>1000</v>
      </c>
      <c r="G376" s="19">
        <v>45512</v>
      </c>
      <c r="H376" s="43">
        <v>86</v>
      </c>
      <c r="I376" s="43">
        <v>11</v>
      </c>
      <c r="J376" s="5" t="s">
        <v>900</v>
      </c>
      <c r="K376" s="5" t="s">
        <v>90</v>
      </c>
      <c r="L376" s="55">
        <v>2018</v>
      </c>
      <c r="M376" s="11" t="str">
        <f>HYPERLINK("http://www.altana.ai", "www.altana.ai")</f>
        <v>www.altana.ai</v>
      </c>
      <c r="N376" s="11" t="str">
        <f>HYPERLINK("https://my.pitchbook.com?c=268224-31", "View Company Online")</f>
        <v>View Company Online</v>
      </c>
    </row>
    <row r="377" spans="1:14" x14ac:dyDescent="0.35">
      <c r="A377" s="6" t="s">
        <v>901</v>
      </c>
      <c r="B377" s="6" t="s">
        <v>1192</v>
      </c>
      <c r="C377" s="6" t="s">
        <v>48</v>
      </c>
      <c r="D377" s="32">
        <v>343.8</v>
      </c>
      <c r="E377" s="20">
        <v>46036</v>
      </c>
      <c r="F377" s="32">
        <v>1150</v>
      </c>
      <c r="G377" s="20">
        <v>46036</v>
      </c>
      <c r="H377" s="44">
        <v>7</v>
      </c>
      <c r="I377" s="44">
        <v>91</v>
      </c>
      <c r="J377" s="6" t="s">
        <v>902</v>
      </c>
      <c r="K377" s="6" t="s">
        <v>197</v>
      </c>
      <c r="L377" s="56">
        <v>2013</v>
      </c>
      <c r="M377" s="12" t="str">
        <f>HYPERLINK("http://www.alpaca.markets", "www.alpaca.markets")</f>
        <v>www.alpaca.markets</v>
      </c>
      <c r="N377" s="12" t="str">
        <f>HYPERLINK("https://my.pitchbook.com?c=126270-37", "View Company Online")</f>
        <v>View Company Online</v>
      </c>
    </row>
    <row r="378" spans="1:14" x14ac:dyDescent="0.35">
      <c r="A378" s="5" t="s">
        <v>903</v>
      </c>
      <c r="B378" s="6" t="s">
        <v>1192</v>
      </c>
      <c r="C378" s="5" t="s">
        <v>44</v>
      </c>
      <c r="D378" s="31">
        <v>343.15</v>
      </c>
      <c r="E378" s="19" t="s">
        <v>24</v>
      </c>
      <c r="F378" s="31">
        <v>441.42</v>
      </c>
      <c r="G378" s="19">
        <v>44383</v>
      </c>
      <c r="H378" s="43">
        <v>63</v>
      </c>
      <c r="I378" s="43">
        <v>32</v>
      </c>
      <c r="J378" s="5" t="s">
        <v>904</v>
      </c>
      <c r="K378" s="5" t="s">
        <v>90</v>
      </c>
      <c r="L378" s="55">
        <v>2015</v>
      </c>
      <c r="M378" s="11" t="str">
        <f>HYPERLINK("http://www.deepinstinct.com", "www.deepinstinct.com")</f>
        <v>www.deepinstinct.com</v>
      </c>
      <c r="N378" s="11" t="str">
        <f>HYPERLINK("https://my.pitchbook.com?c=151111-81", "View Company Online")</f>
        <v>View Company Online</v>
      </c>
    </row>
    <row r="379" spans="1:14" x14ac:dyDescent="0.35">
      <c r="A379" s="6" t="s">
        <v>905</v>
      </c>
      <c r="B379" s="6" t="s">
        <v>39</v>
      </c>
      <c r="C379" s="6" t="s">
        <v>881</v>
      </c>
      <c r="D379" s="32">
        <v>342.72</v>
      </c>
      <c r="E379" s="20">
        <v>45763</v>
      </c>
      <c r="F379" s="32">
        <v>887</v>
      </c>
      <c r="G379" s="20">
        <v>45763</v>
      </c>
      <c r="H379" s="44">
        <v>39</v>
      </c>
      <c r="I379" s="44">
        <v>59</v>
      </c>
      <c r="J379" s="6" t="s">
        <v>906</v>
      </c>
      <c r="K379" s="6" t="s">
        <v>62</v>
      </c>
      <c r="L379" s="56">
        <v>2022</v>
      </c>
      <c r="M379" s="12" t="str">
        <f>HYPERLINK("http://www.velaura.ai", "www.velaura.ai")</f>
        <v>www.velaura.ai</v>
      </c>
      <c r="N379" s="12" t="str">
        <f>HYPERLINK("https://my.pitchbook.com?c=527656-69", "View Company Online")</f>
        <v>View Company Online</v>
      </c>
    </row>
    <row r="380" spans="1:14" x14ac:dyDescent="0.35">
      <c r="A380" s="5" t="s">
        <v>907</v>
      </c>
      <c r="B380" s="6" t="s">
        <v>1192</v>
      </c>
      <c r="C380" s="5" t="s">
        <v>44</v>
      </c>
      <c r="D380" s="31">
        <v>341.84</v>
      </c>
      <c r="E380" s="19">
        <v>44287</v>
      </c>
      <c r="F380" s="31">
        <v>2101</v>
      </c>
      <c r="G380" s="19">
        <v>44264</v>
      </c>
      <c r="H380" s="43">
        <v>18</v>
      </c>
      <c r="I380" s="43">
        <v>60</v>
      </c>
      <c r="J380" s="5" t="s">
        <v>908</v>
      </c>
      <c r="K380" s="5" t="s">
        <v>18</v>
      </c>
      <c r="L380" s="55">
        <v>2013</v>
      </c>
      <c r="M380" s="11" t="str">
        <f>HYPERLINK("http://www.iterable.com", "www.iterable.com")</f>
        <v>www.iterable.com</v>
      </c>
      <c r="N380" s="11" t="str">
        <f>HYPERLINK("https://my.pitchbook.com?c=61004-44", "View Company Online")</f>
        <v>View Company Online</v>
      </c>
    </row>
    <row r="381" spans="1:14" x14ac:dyDescent="0.35">
      <c r="A381" s="6" t="s">
        <v>909</v>
      </c>
      <c r="B381" s="6" t="s">
        <v>15</v>
      </c>
      <c r="C381" s="6" t="s">
        <v>16</v>
      </c>
      <c r="D381" s="32">
        <v>341.18</v>
      </c>
      <c r="E381" s="20" t="s">
        <v>24</v>
      </c>
      <c r="F381" s="32">
        <v>1350</v>
      </c>
      <c r="G381" s="20">
        <v>44586</v>
      </c>
      <c r="H381" s="44">
        <v>41</v>
      </c>
      <c r="I381" s="44">
        <v>57</v>
      </c>
      <c r="J381" s="6" t="s">
        <v>910</v>
      </c>
      <c r="K381" s="6" t="s">
        <v>911</v>
      </c>
      <c r="L381" s="56">
        <v>2013</v>
      </c>
      <c r="M381" s="12" t="str">
        <f>HYPERLINK("http://www.avathon.com", "www.avathon.com")</f>
        <v>www.avathon.com</v>
      </c>
      <c r="N381" s="12" t="str">
        <f>HYPERLINK("https://my.pitchbook.com?c=98209-63", "View Company Online")</f>
        <v>View Company Online</v>
      </c>
    </row>
    <row r="382" spans="1:14" x14ac:dyDescent="0.35">
      <c r="A382" s="5" t="s">
        <v>912</v>
      </c>
      <c r="B382" s="5" t="s">
        <v>39</v>
      </c>
      <c r="C382" s="5" t="s">
        <v>40</v>
      </c>
      <c r="D382" s="31">
        <v>341.17</v>
      </c>
      <c r="E382" s="19">
        <v>45384</v>
      </c>
      <c r="F382" s="31">
        <v>1200</v>
      </c>
      <c r="G382" s="19">
        <v>45384</v>
      </c>
      <c r="H382" s="43">
        <v>15</v>
      </c>
      <c r="I382" s="43">
        <v>62</v>
      </c>
      <c r="J382" s="5" t="s">
        <v>913</v>
      </c>
      <c r="K382" s="5" t="s">
        <v>454</v>
      </c>
      <c r="L382" s="55">
        <v>2017</v>
      </c>
      <c r="M382" s="11" t="str">
        <f>HYPERLINK("http://www.hailo.ai", "www.hailo.ai")</f>
        <v>www.hailo.ai</v>
      </c>
      <c r="N382" s="11" t="str">
        <f>HYPERLINK("https://my.pitchbook.com?c=227317-87", "View Company Online")</f>
        <v>View Company Online</v>
      </c>
    </row>
    <row r="383" spans="1:14" x14ac:dyDescent="0.35">
      <c r="A383" s="6" t="s">
        <v>914</v>
      </c>
      <c r="B383" s="6" t="s">
        <v>26</v>
      </c>
      <c r="C383" s="6" t="s">
        <v>55</v>
      </c>
      <c r="D383" s="32">
        <v>341.17</v>
      </c>
      <c r="E383" s="20">
        <v>45975</v>
      </c>
      <c r="F383" s="32">
        <v>581</v>
      </c>
      <c r="G383" s="20">
        <v>45975</v>
      </c>
      <c r="H383" s="44">
        <v>34</v>
      </c>
      <c r="I383" s="44">
        <v>64</v>
      </c>
      <c r="J383" s="6" t="s">
        <v>915</v>
      </c>
      <c r="K383" s="6" t="s">
        <v>916</v>
      </c>
      <c r="L383" s="56">
        <v>2014</v>
      </c>
      <c r="M383" s="12" t="str">
        <f>HYPERLINK("http://www.path-robotics.com", "www.path-robotics.com")</f>
        <v>www.path-robotics.com</v>
      </c>
      <c r="N383" s="12" t="str">
        <f>HYPERLINK("https://my.pitchbook.com?c=233402-23", "View Company Online")</f>
        <v>View Company Online</v>
      </c>
    </row>
    <row r="384" spans="1:14" x14ac:dyDescent="0.35">
      <c r="A384" s="5" t="s">
        <v>917</v>
      </c>
      <c r="B384" s="6" t="s">
        <v>1192</v>
      </c>
      <c r="C384" s="5" t="s">
        <v>159</v>
      </c>
      <c r="D384" s="31">
        <v>340.68</v>
      </c>
      <c r="E384" s="19">
        <v>45798</v>
      </c>
      <c r="F384" s="31">
        <v>502</v>
      </c>
      <c r="G384" s="19">
        <v>43696</v>
      </c>
      <c r="H384" s="43">
        <v>8</v>
      </c>
      <c r="I384" s="43">
        <v>90</v>
      </c>
      <c r="J384" s="5" t="s">
        <v>918</v>
      </c>
      <c r="K384" s="5" t="s">
        <v>919</v>
      </c>
      <c r="L384" s="55">
        <v>2016</v>
      </c>
      <c r="M384" s="11" t="str">
        <f>HYPERLINK("http://www.juvlabs.com", "www.juvlabs.com")</f>
        <v>www.juvlabs.com</v>
      </c>
      <c r="N384" s="11" t="str">
        <f>HYPERLINK("https://my.pitchbook.com?c=223869-34", "View Company Online")</f>
        <v>View Company Online</v>
      </c>
    </row>
    <row r="385" spans="1:14" x14ac:dyDescent="0.35">
      <c r="A385" s="6" t="s">
        <v>920</v>
      </c>
      <c r="B385" s="6" t="s">
        <v>26</v>
      </c>
      <c r="C385" s="6" t="s">
        <v>55</v>
      </c>
      <c r="D385" s="32">
        <v>340.58</v>
      </c>
      <c r="E385" s="20">
        <v>45993</v>
      </c>
      <c r="F385" s="32">
        <v>658.54</v>
      </c>
      <c r="G385" s="20">
        <v>45266</v>
      </c>
      <c r="H385" s="44">
        <v>1</v>
      </c>
      <c r="I385" s="44">
        <v>97</v>
      </c>
      <c r="J385" s="6" t="s">
        <v>921</v>
      </c>
      <c r="K385" s="6" t="s">
        <v>922</v>
      </c>
      <c r="L385" s="56">
        <v>2011</v>
      </c>
      <c r="M385" s="12" t="str">
        <f>HYPERLINK("http://www.mujin.co.jp", "www.mujin.co.jp")</f>
        <v>www.mujin.co.jp</v>
      </c>
      <c r="N385" s="12" t="str">
        <f>HYPERLINK("https://my.pitchbook.com?c=65614-15", "View Company Online")</f>
        <v>View Company Online</v>
      </c>
    </row>
    <row r="386" spans="1:14" x14ac:dyDescent="0.35">
      <c r="A386" s="5" t="s">
        <v>923</v>
      </c>
      <c r="B386" s="5" t="s">
        <v>15</v>
      </c>
      <c r="C386" s="5" t="s">
        <v>22</v>
      </c>
      <c r="D386" s="31">
        <v>340</v>
      </c>
      <c r="E386" s="19">
        <v>45104</v>
      </c>
      <c r="F386" s="31">
        <v>1748</v>
      </c>
      <c r="G386" s="19">
        <v>44867</v>
      </c>
      <c r="H386" s="43">
        <v>59</v>
      </c>
      <c r="I386" s="43">
        <v>34</v>
      </c>
      <c r="J386" s="5" t="s">
        <v>924</v>
      </c>
      <c r="K386" s="5" t="s">
        <v>516</v>
      </c>
      <c r="L386" s="55">
        <v>2012</v>
      </c>
      <c r="M386" s="11" t="str">
        <f>HYPERLINK("http://www.alation.com", "www.alation.com")</f>
        <v>www.alation.com</v>
      </c>
      <c r="N386" s="11" t="str">
        <f>HYPERLINK("https://my.pitchbook.com?c=61490-17", "View Company Online")</f>
        <v>View Company Online</v>
      </c>
    </row>
    <row r="387" spans="1:14" x14ac:dyDescent="0.35">
      <c r="A387" s="6" t="s">
        <v>925</v>
      </c>
      <c r="B387" s="6" t="s">
        <v>39</v>
      </c>
      <c r="C387" s="6" t="s">
        <v>40</v>
      </c>
      <c r="D387" s="32">
        <v>339.34</v>
      </c>
      <c r="E387" s="20">
        <v>45778</v>
      </c>
      <c r="F387" s="32">
        <v>2490.4299999999998</v>
      </c>
      <c r="G387" s="20">
        <v>44256</v>
      </c>
      <c r="H387" s="44" t="s">
        <v>24</v>
      </c>
      <c r="I387" s="44" t="s">
        <v>24</v>
      </c>
      <c r="J387" s="6" t="s">
        <v>926</v>
      </c>
      <c r="K387" s="6" t="s">
        <v>219</v>
      </c>
      <c r="L387" s="56">
        <v>2015</v>
      </c>
      <c r="M387" s="12" t="str">
        <f>HYPERLINK("http://www.iluvatar.com", "www.iluvatar.com")</f>
        <v>www.iluvatar.com</v>
      </c>
      <c r="N387" s="12" t="str">
        <f>HYPERLINK("https://my.pitchbook.com?c=303076-00", "View Company Online")</f>
        <v>View Company Online</v>
      </c>
    </row>
    <row r="388" spans="1:14" x14ac:dyDescent="0.35">
      <c r="A388" s="5" t="s">
        <v>927</v>
      </c>
      <c r="B388" s="5" t="s">
        <v>26</v>
      </c>
      <c r="C388" s="5" t="s">
        <v>27</v>
      </c>
      <c r="D388" s="31">
        <v>339.03</v>
      </c>
      <c r="E388" s="19">
        <v>45931</v>
      </c>
      <c r="F388" s="31">
        <v>591.07000000000005</v>
      </c>
      <c r="G388" s="19">
        <v>45460</v>
      </c>
      <c r="H388" s="43">
        <v>36</v>
      </c>
      <c r="I388" s="43">
        <v>30</v>
      </c>
      <c r="J388" s="5" t="s">
        <v>928</v>
      </c>
      <c r="K388" s="5" t="s">
        <v>669</v>
      </c>
      <c r="L388" s="55">
        <v>2015</v>
      </c>
      <c r="M388" s="11" t="str">
        <f>HYPERLINK("http://www.tier4.jp", "www.tier4.jp")</f>
        <v>www.tier4.jp</v>
      </c>
      <c r="N388" s="11" t="str">
        <f>HYPERLINK("https://my.pitchbook.com?c=229434-22", "View Company Online")</f>
        <v>View Company Online</v>
      </c>
    </row>
    <row r="389" spans="1:14" x14ac:dyDescent="0.35">
      <c r="A389" s="6" t="s">
        <v>929</v>
      </c>
      <c r="B389" s="6" t="s">
        <v>1192</v>
      </c>
      <c r="C389" s="6" t="s">
        <v>31</v>
      </c>
      <c r="D389" s="32">
        <v>338.66</v>
      </c>
      <c r="E389" s="20">
        <v>44405</v>
      </c>
      <c r="F389" s="32">
        <v>3000</v>
      </c>
      <c r="G389" s="20">
        <v>44405</v>
      </c>
      <c r="H389" s="44">
        <v>30</v>
      </c>
      <c r="I389" s="44">
        <v>24</v>
      </c>
      <c r="J389" s="6" t="s">
        <v>930</v>
      </c>
      <c r="K389" s="6" t="s">
        <v>539</v>
      </c>
      <c r="L389" s="56">
        <v>2013</v>
      </c>
      <c r="M389" s="12" t="str">
        <f>HYPERLINK("http://www.contentful.com", "www.contentful.com")</f>
        <v>www.contentful.com</v>
      </c>
      <c r="N389" s="12" t="str">
        <f>HYPERLINK("https://my.pitchbook.com?c=58213-54", "View Company Online")</f>
        <v>View Company Online</v>
      </c>
    </row>
    <row r="390" spans="1:14" x14ac:dyDescent="0.35">
      <c r="A390" s="5" t="s">
        <v>931</v>
      </c>
      <c r="B390" s="6" t="s">
        <v>1192</v>
      </c>
      <c r="C390" s="5" t="s">
        <v>44</v>
      </c>
      <c r="D390" s="31">
        <v>338.29</v>
      </c>
      <c r="E390" s="19">
        <v>44664</v>
      </c>
      <c r="F390" s="31">
        <v>2600</v>
      </c>
      <c r="G390" s="19">
        <v>44664</v>
      </c>
      <c r="H390" s="43">
        <v>7</v>
      </c>
      <c r="I390" s="43">
        <v>32</v>
      </c>
      <c r="J390" s="5" t="s">
        <v>932</v>
      </c>
      <c r="K390" s="5" t="s">
        <v>341</v>
      </c>
      <c r="L390" s="55">
        <v>2007</v>
      </c>
      <c r="M390" s="11" t="str">
        <f>HYPERLINK("http://unico.io", "unico.io")</f>
        <v>unico.io</v>
      </c>
      <c r="N390" s="11" t="str">
        <f>HYPERLINK("https://my.pitchbook.com?c=432906-76", "View Company Online")</f>
        <v>View Company Online</v>
      </c>
    </row>
    <row r="391" spans="1:14" x14ac:dyDescent="0.35">
      <c r="A391" s="6" t="s">
        <v>933</v>
      </c>
      <c r="B391" s="6" t="s">
        <v>15</v>
      </c>
      <c r="C391" s="6" t="s">
        <v>16</v>
      </c>
      <c r="D391" s="32">
        <v>337.5</v>
      </c>
      <c r="E391" s="20">
        <v>46000</v>
      </c>
      <c r="F391" s="32">
        <v>4500</v>
      </c>
      <c r="G391" s="20">
        <v>46000</v>
      </c>
      <c r="H391" s="44">
        <v>4</v>
      </c>
      <c r="I391" s="44">
        <v>94</v>
      </c>
      <c r="J391" s="6" t="s">
        <v>934</v>
      </c>
      <c r="K391" s="6" t="s">
        <v>18</v>
      </c>
      <c r="L391" s="56">
        <v>2021</v>
      </c>
      <c r="M391" s="12" t="str">
        <f>HYPERLINK("http://www.fal.ai", "www.fal.ai")</f>
        <v>www.fal.ai</v>
      </c>
      <c r="N391" s="12" t="str">
        <f>HYPERLINK("https://my.pitchbook.com?c=466555-96", "View Company Online")</f>
        <v>View Company Online</v>
      </c>
    </row>
    <row r="392" spans="1:14" x14ac:dyDescent="0.35">
      <c r="A392" s="5" t="s">
        <v>935</v>
      </c>
      <c r="B392" s="6" t="s">
        <v>1192</v>
      </c>
      <c r="C392" s="5" t="s">
        <v>48</v>
      </c>
      <c r="D392" s="31">
        <v>336.45</v>
      </c>
      <c r="E392" s="19">
        <v>45875</v>
      </c>
      <c r="F392" s="31">
        <v>1600</v>
      </c>
      <c r="G392" s="19">
        <v>44642</v>
      </c>
      <c r="H392" s="43">
        <v>58</v>
      </c>
      <c r="I392" s="43">
        <v>38</v>
      </c>
      <c r="J392" s="5" t="s">
        <v>936</v>
      </c>
      <c r="K392" s="5" t="s">
        <v>90</v>
      </c>
      <c r="L392" s="55">
        <v>2017</v>
      </c>
      <c r="M392" s="11" t="str">
        <f>HYPERLINK("http://www.capitolis.com", "www.capitolis.com")</f>
        <v>www.capitolis.com</v>
      </c>
      <c r="N392" s="11" t="str">
        <f>HYPERLINK("https://my.pitchbook.com?c=186757-66", "View Company Online")</f>
        <v>View Company Online</v>
      </c>
    </row>
    <row r="393" spans="1:14" x14ac:dyDescent="0.35">
      <c r="A393" s="6" t="s">
        <v>937</v>
      </c>
      <c r="B393" s="6" t="s">
        <v>15</v>
      </c>
      <c r="C393" s="6" t="s">
        <v>156</v>
      </c>
      <c r="D393" s="32">
        <v>335.78</v>
      </c>
      <c r="E393" s="20">
        <v>45505</v>
      </c>
      <c r="F393" s="32">
        <v>2250</v>
      </c>
      <c r="G393" s="20">
        <v>44405</v>
      </c>
      <c r="H393" s="44">
        <v>59</v>
      </c>
      <c r="I393" s="44">
        <v>36</v>
      </c>
      <c r="J393" s="6" t="s">
        <v>938</v>
      </c>
      <c r="K393" s="6" t="s">
        <v>83</v>
      </c>
      <c r="L393" s="56">
        <v>2012</v>
      </c>
      <c r="M393" s="12" t="str">
        <f>HYPERLINK("http://www.algolia.com", "www.algolia.com")</f>
        <v>www.algolia.com</v>
      </c>
      <c r="N393" s="12" t="str">
        <f>HYPERLINK("https://my.pitchbook.com?c=59252-32", "View Company Online")</f>
        <v>View Company Online</v>
      </c>
    </row>
    <row r="394" spans="1:14" x14ac:dyDescent="0.35">
      <c r="A394" s="5" t="s">
        <v>939</v>
      </c>
      <c r="B394" s="6" t="s">
        <v>1192</v>
      </c>
      <c r="C394" s="5" t="s">
        <v>31</v>
      </c>
      <c r="D394" s="31">
        <v>335.73</v>
      </c>
      <c r="E394" s="19">
        <v>44678</v>
      </c>
      <c r="F394" s="31">
        <v>776</v>
      </c>
      <c r="G394" s="19">
        <v>44299</v>
      </c>
      <c r="H394" s="43">
        <v>21</v>
      </c>
      <c r="I394" s="43">
        <v>46</v>
      </c>
      <c r="J394" s="5" t="s">
        <v>940</v>
      </c>
      <c r="K394" s="5" t="s">
        <v>18</v>
      </c>
      <c r="L394" s="55">
        <v>2014</v>
      </c>
      <c r="M394" s="11" t="str">
        <f>HYPERLINK("http://www.tempo.fit", "www.tempo.fit")</f>
        <v>www.tempo.fit</v>
      </c>
      <c r="N394" s="11" t="str">
        <f>HYPERLINK("https://my.pitchbook.com?c=110498-50", "View Company Online")</f>
        <v>View Company Online</v>
      </c>
    </row>
    <row r="395" spans="1:14" x14ac:dyDescent="0.35">
      <c r="A395" s="6" t="s">
        <v>941</v>
      </c>
      <c r="B395" s="6" t="s">
        <v>1192</v>
      </c>
      <c r="C395" s="6" t="s">
        <v>36</v>
      </c>
      <c r="D395" s="32">
        <v>335.6</v>
      </c>
      <c r="E395" s="20">
        <v>44564</v>
      </c>
      <c r="F395" s="32">
        <v>1300</v>
      </c>
      <c r="G395" s="20">
        <v>44564</v>
      </c>
      <c r="H395" s="44">
        <v>18</v>
      </c>
      <c r="I395" s="44">
        <v>25</v>
      </c>
      <c r="J395" s="6" t="s">
        <v>942</v>
      </c>
      <c r="K395" s="6" t="s">
        <v>76</v>
      </c>
      <c r="L395" s="56">
        <v>2014</v>
      </c>
      <c r="M395" s="12" t="str">
        <f>HYPERLINK("http://www.loadsmart.com", "www.loadsmart.com")</f>
        <v>www.loadsmart.com</v>
      </c>
      <c r="N395" s="12" t="str">
        <f>HYPERLINK("https://my.pitchbook.com?c=109011-97", "View Company Online")</f>
        <v>View Company Online</v>
      </c>
    </row>
    <row r="396" spans="1:14" x14ac:dyDescent="0.35">
      <c r="A396" s="5" t="s">
        <v>943</v>
      </c>
      <c r="B396" s="5" t="s">
        <v>39</v>
      </c>
      <c r="C396" s="5" t="s">
        <v>70</v>
      </c>
      <c r="D396" s="31">
        <v>335</v>
      </c>
      <c r="E396" s="19">
        <v>46048</v>
      </c>
      <c r="F396" s="31">
        <v>4000</v>
      </c>
      <c r="G396" s="19">
        <v>46048</v>
      </c>
      <c r="H396" s="43">
        <v>78</v>
      </c>
      <c r="I396" s="43">
        <v>19</v>
      </c>
      <c r="J396" s="5" t="s">
        <v>944</v>
      </c>
      <c r="K396" s="5" t="s">
        <v>83</v>
      </c>
      <c r="L396" s="55">
        <v>2025</v>
      </c>
      <c r="M396" s="11" t="str">
        <f>HYPERLINK("http://www.ricursive.com", "www.ricursive.com")</f>
        <v>www.ricursive.com</v>
      </c>
      <c r="N396" s="11" t="str">
        <f>HYPERLINK("https://my.pitchbook.com?c=1167640-12", "View Company Online")</f>
        <v>View Company Online</v>
      </c>
    </row>
    <row r="397" spans="1:14" x14ac:dyDescent="0.35">
      <c r="A397" s="6" t="s">
        <v>945</v>
      </c>
      <c r="B397" s="6" t="s">
        <v>1192</v>
      </c>
      <c r="C397" s="6" t="s">
        <v>48</v>
      </c>
      <c r="D397" s="32">
        <v>334.62</v>
      </c>
      <c r="E397" s="20">
        <v>45548</v>
      </c>
      <c r="F397" s="32">
        <v>688.95</v>
      </c>
      <c r="G397" s="20">
        <v>45548</v>
      </c>
      <c r="H397" s="44">
        <v>59</v>
      </c>
      <c r="I397" s="44">
        <v>34</v>
      </c>
      <c r="J397" s="6" t="s">
        <v>946</v>
      </c>
      <c r="K397" s="6" t="s">
        <v>90</v>
      </c>
      <c r="L397" s="56">
        <v>2017</v>
      </c>
      <c r="M397" s="12" t="str">
        <f>HYPERLINK("http://www.clarity.ai", "www.clarity.ai")</f>
        <v>www.clarity.ai</v>
      </c>
      <c r="N397" s="12" t="str">
        <f>HYPERLINK("https://my.pitchbook.com?c=222753-16", "View Company Online")</f>
        <v>View Company Online</v>
      </c>
    </row>
    <row r="398" spans="1:14" x14ac:dyDescent="0.35">
      <c r="A398" s="5" t="s">
        <v>947</v>
      </c>
      <c r="B398" s="6" t="s">
        <v>1192</v>
      </c>
      <c r="C398" s="5" t="s">
        <v>159</v>
      </c>
      <c r="D398" s="31">
        <v>334.1</v>
      </c>
      <c r="E398" s="19">
        <v>45657</v>
      </c>
      <c r="F398" s="31">
        <v>1645</v>
      </c>
      <c r="G398" s="19">
        <v>44721</v>
      </c>
      <c r="H398" s="43">
        <v>51</v>
      </c>
      <c r="I398" s="43">
        <v>47</v>
      </c>
      <c r="J398" s="5" t="s">
        <v>948</v>
      </c>
      <c r="K398" s="5" t="s">
        <v>99</v>
      </c>
      <c r="L398" s="55">
        <v>2016</v>
      </c>
      <c r="M398" s="11" t="str">
        <f>HYPERLINK("http://www.owkin.com", "www.owkin.com")</f>
        <v>www.owkin.com</v>
      </c>
      <c r="N398" s="11" t="str">
        <f>HYPERLINK("https://my.pitchbook.com?c=166868-29", "View Company Online")</f>
        <v>View Company Online</v>
      </c>
    </row>
    <row r="399" spans="1:14" x14ac:dyDescent="0.35">
      <c r="A399" s="6" t="s">
        <v>949</v>
      </c>
      <c r="B399" s="6" t="s">
        <v>1192</v>
      </c>
      <c r="C399" s="6" t="s">
        <v>44</v>
      </c>
      <c r="D399" s="32">
        <v>333.59</v>
      </c>
      <c r="E399" s="20">
        <v>45505</v>
      </c>
      <c r="F399" s="32">
        <v>20.32</v>
      </c>
      <c r="G399" s="20">
        <v>42963</v>
      </c>
      <c r="H399" s="44">
        <v>81</v>
      </c>
      <c r="I399" s="44">
        <v>17</v>
      </c>
      <c r="J399" s="6" t="s">
        <v>950</v>
      </c>
      <c r="K399" s="6" t="s">
        <v>951</v>
      </c>
      <c r="L399" s="56">
        <v>2014</v>
      </c>
      <c r="M399" s="12" t="str">
        <f>HYPERLINK("http://www.seedtag.com", "www.seedtag.com")</f>
        <v>www.seedtag.com</v>
      </c>
      <c r="N399" s="12" t="str">
        <f>HYPERLINK("https://my.pitchbook.com?c=93285-73", "View Company Online")</f>
        <v>View Company Online</v>
      </c>
    </row>
    <row r="400" spans="1:14" x14ac:dyDescent="0.35">
      <c r="A400" s="5" t="s">
        <v>952</v>
      </c>
      <c r="B400" s="6" t="s">
        <v>1192</v>
      </c>
      <c r="C400" s="5" t="s">
        <v>44</v>
      </c>
      <c r="D400" s="31">
        <v>333.04</v>
      </c>
      <c r="E400" s="19">
        <v>46021</v>
      </c>
      <c r="F400" s="31">
        <v>402</v>
      </c>
      <c r="G400" s="19">
        <v>43979</v>
      </c>
      <c r="H400" s="43">
        <v>67</v>
      </c>
      <c r="I400" s="43">
        <v>28</v>
      </c>
      <c r="J400" s="5" t="s">
        <v>953</v>
      </c>
      <c r="K400" s="5" t="s">
        <v>516</v>
      </c>
      <c r="L400" s="55">
        <v>2013</v>
      </c>
      <c r="M400" s="11" t="str">
        <f>HYPERLINK("http://www.synack.com", "www.synack.com")</f>
        <v>www.synack.com</v>
      </c>
      <c r="N400" s="11" t="str">
        <f>HYPERLINK("https://my.pitchbook.com?c=58216-24", "View Company Online")</f>
        <v>View Company Online</v>
      </c>
    </row>
    <row r="401" spans="1:14" x14ac:dyDescent="0.35">
      <c r="A401" s="6" t="s">
        <v>954</v>
      </c>
      <c r="B401" s="6" t="s">
        <v>1192</v>
      </c>
      <c r="C401" s="6" t="s">
        <v>36</v>
      </c>
      <c r="D401" s="32">
        <v>329.42</v>
      </c>
      <c r="E401" s="20">
        <v>45727</v>
      </c>
      <c r="F401" s="32">
        <v>818.18</v>
      </c>
      <c r="G401" s="20">
        <v>45727</v>
      </c>
      <c r="H401" s="44">
        <v>51</v>
      </c>
      <c r="I401" s="44">
        <v>47</v>
      </c>
      <c r="J401" s="6" t="s">
        <v>955</v>
      </c>
      <c r="K401" s="6" t="s">
        <v>700</v>
      </c>
      <c r="L401" s="56">
        <v>2014</v>
      </c>
      <c r="M401" s="12" t="str">
        <f>HYPERLINK("http://www.bizongo.com", "www.bizongo.com")</f>
        <v>www.bizongo.com</v>
      </c>
      <c r="N401" s="12" t="str">
        <f>HYPERLINK("https://my.pitchbook.com?c=113958-01", "View Company Online")</f>
        <v>View Company Online</v>
      </c>
    </row>
    <row r="402" spans="1:14" x14ac:dyDescent="0.35">
      <c r="A402" s="5" t="s">
        <v>956</v>
      </c>
      <c r="B402" s="5" t="s">
        <v>26</v>
      </c>
      <c r="C402" s="5" t="s">
        <v>55</v>
      </c>
      <c r="D402" s="31">
        <v>329.16</v>
      </c>
      <c r="E402" s="19">
        <v>45996</v>
      </c>
      <c r="F402" s="31">
        <v>136.5</v>
      </c>
      <c r="G402" s="19">
        <v>45996</v>
      </c>
      <c r="H402" s="43">
        <v>34</v>
      </c>
      <c r="I402" s="43">
        <v>54</v>
      </c>
      <c r="J402" s="5" t="s">
        <v>957</v>
      </c>
      <c r="K402" s="5" t="s">
        <v>958</v>
      </c>
      <c r="L402" s="55">
        <v>2013</v>
      </c>
      <c r="M402" s="11" t="str">
        <f>HYPERLINK("http://www.opentrons.com", "www.opentrons.com")</f>
        <v>www.opentrons.com</v>
      </c>
      <c r="N402" s="11" t="str">
        <f>HYPERLINK("https://my.pitchbook.com?c=102684-88", "View Company Online")</f>
        <v>View Company Online</v>
      </c>
    </row>
    <row r="403" spans="1:14" x14ac:dyDescent="0.35">
      <c r="A403" s="6" t="s">
        <v>959</v>
      </c>
      <c r="B403" s="6" t="s">
        <v>1192</v>
      </c>
      <c r="C403" s="6" t="s">
        <v>48</v>
      </c>
      <c r="D403" s="32">
        <v>329.08</v>
      </c>
      <c r="E403" s="20">
        <v>44774</v>
      </c>
      <c r="F403" s="32">
        <v>1000</v>
      </c>
      <c r="G403" s="20">
        <v>44679</v>
      </c>
      <c r="H403" s="44">
        <v>61</v>
      </c>
      <c r="I403" s="44">
        <v>22</v>
      </c>
      <c r="J403" s="6" t="s">
        <v>960</v>
      </c>
      <c r="K403" s="6" t="s">
        <v>539</v>
      </c>
      <c r="L403" s="56">
        <v>2016</v>
      </c>
      <c r="M403" s="12" t="str">
        <f>HYPERLINK("http://www.taxfix.de", "www.taxfix.de")</f>
        <v>www.taxfix.de</v>
      </c>
      <c r="N403" s="12" t="str">
        <f>HYPERLINK("https://my.pitchbook.com?c=174348-64", "View Company Online")</f>
        <v>View Company Online</v>
      </c>
    </row>
    <row r="404" spans="1:14" x14ac:dyDescent="0.35">
      <c r="A404" s="5" t="s">
        <v>961</v>
      </c>
      <c r="B404" s="6" t="s">
        <v>1192</v>
      </c>
      <c r="C404" s="5" t="s">
        <v>48</v>
      </c>
      <c r="D404" s="31">
        <v>328.81</v>
      </c>
      <c r="E404" s="19">
        <v>45558</v>
      </c>
      <c r="F404" s="31">
        <v>1009.36</v>
      </c>
      <c r="G404" s="19">
        <v>44480</v>
      </c>
      <c r="H404" s="43">
        <v>45</v>
      </c>
      <c r="I404" s="43">
        <v>23</v>
      </c>
      <c r="J404" s="5" t="s">
        <v>962</v>
      </c>
      <c r="K404" s="5" t="s">
        <v>963</v>
      </c>
      <c r="L404" s="55">
        <v>2016</v>
      </c>
      <c r="M404" s="11" t="str">
        <f>HYPERLINK("http://www.swile.co", "www.swile.co")</f>
        <v>www.swile.co</v>
      </c>
      <c r="N404" s="11" t="str">
        <f>HYPERLINK("https://my.pitchbook.com?c=227360-71", "View Company Online")</f>
        <v>View Company Online</v>
      </c>
    </row>
    <row r="405" spans="1:14" x14ac:dyDescent="0.35">
      <c r="A405" s="6" t="s">
        <v>964</v>
      </c>
      <c r="B405" s="6" t="s">
        <v>1192</v>
      </c>
      <c r="C405" s="6" t="s">
        <v>44</v>
      </c>
      <c r="D405" s="32">
        <v>328.2</v>
      </c>
      <c r="E405" s="20">
        <v>46033</v>
      </c>
      <c r="F405" s="32">
        <v>1200</v>
      </c>
      <c r="G405" s="20">
        <v>46033</v>
      </c>
      <c r="H405" s="44">
        <v>29</v>
      </c>
      <c r="I405" s="44">
        <v>69</v>
      </c>
      <c r="J405" s="6" t="s">
        <v>965</v>
      </c>
      <c r="K405" s="6" t="s">
        <v>454</v>
      </c>
      <c r="L405" s="56">
        <v>2020</v>
      </c>
      <c r="M405" s="12" t="str">
        <f>HYPERLINK("http://www.torq.io", "www.torq.io")</f>
        <v>www.torq.io</v>
      </c>
      <c r="N405" s="12" t="str">
        <f>HYPERLINK("https://my.pitchbook.com?c=437288-23", "View Company Online")</f>
        <v>View Company Online</v>
      </c>
    </row>
    <row r="406" spans="1:14" x14ac:dyDescent="0.35">
      <c r="A406" s="5" t="s">
        <v>966</v>
      </c>
      <c r="B406" s="6" t="s">
        <v>1192</v>
      </c>
      <c r="C406" s="5" t="s">
        <v>44</v>
      </c>
      <c r="D406" s="31">
        <v>327.89</v>
      </c>
      <c r="E406" s="19">
        <v>45936</v>
      </c>
      <c r="F406" s="31">
        <v>270</v>
      </c>
      <c r="G406" s="19">
        <v>44747</v>
      </c>
      <c r="H406" s="43">
        <v>74</v>
      </c>
      <c r="I406" s="43">
        <v>7</v>
      </c>
      <c r="J406" s="5" t="s">
        <v>967</v>
      </c>
      <c r="K406" s="5" t="s">
        <v>72</v>
      </c>
      <c r="L406" s="55">
        <v>2014</v>
      </c>
      <c r="M406" s="11" t="str">
        <f>HYPERLINK("http://www.swimlane.com", "www.swimlane.com")</f>
        <v>www.swimlane.com</v>
      </c>
      <c r="N406" s="11" t="str">
        <f>HYPERLINK("https://my.pitchbook.com?c=143011-18", "View Company Online")</f>
        <v>View Company Online</v>
      </c>
    </row>
    <row r="407" spans="1:14" x14ac:dyDescent="0.35">
      <c r="A407" s="6" t="s">
        <v>968</v>
      </c>
      <c r="B407" s="6" t="s">
        <v>1192</v>
      </c>
      <c r="C407" s="6" t="s">
        <v>159</v>
      </c>
      <c r="D407" s="32">
        <v>327.39</v>
      </c>
      <c r="E407" s="20">
        <v>45609</v>
      </c>
      <c r="F407" s="32">
        <v>424.03</v>
      </c>
      <c r="G407" s="20">
        <v>45163</v>
      </c>
      <c r="H407" s="44">
        <v>6</v>
      </c>
      <c r="I407" s="44">
        <v>92</v>
      </c>
      <c r="J407" s="6" t="s">
        <v>969</v>
      </c>
      <c r="K407" s="6" t="s">
        <v>970</v>
      </c>
      <c r="L407" s="56">
        <v>2019</v>
      </c>
      <c r="M407" s="12" t="str">
        <f>HYPERLINK("http://genesis.ml", "genesis.ml")</f>
        <v>genesis.ml</v>
      </c>
      <c r="N407" s="12" t="str">
        <f>HYPERLINK("https://my.pitchbook.com?c=343111-24", "View Company Online")</f>
        <v>View Company Online</v>
      </c>
    </row>
    <row r="408" spans="1:14" x14ac:dyDescent="0.35">
      <c r="A408" s="5" t="s">
        <v>971</v>
      </c>
      <c r="B408" s="5" t="s">
        <v>15</v>
      </c>
      <c r="C408" s="5" t="s">
        <v>22</v>
      </c>
      <c r="D408" s="31">
        <v>327.2</v>
      </c>
      <c r="E408" s="19">
        <v>45869</v>
      </c>
      <c r="F408" s="31">
        <v>1500</v>
      </c>
      <c r="G408" s="19">
        <v>45869</v>
      </c>
      <c r="H408" s="43">
        <v>16</v>
      </c>
      <c r="I408" s="43">
        <v>80</v>
      </c>
      <c r="J408" s="5" t="s">
        <v>972</v>
      </c>
      <c r="K408" s="5" t="s">
        <v>280</v>
      </c>
      <c r="L408" s="55">
        <v>2012</v>
      </c>
      <c r="M408" s="11" t="str">
        <f>HYPERLINK("http://www.anaconda.com", "www.anaconda.com")</f>
        <v>www.anaconda.com</v>
      </c>
      <c r="N408" s="11" t="str">
        <f>HYPERLINK("https://my.pitchbook.com?c=86405-95", "View Company Online")</f>
        <v>View Company Online</v>
      </c>
    </row>
    <row r="409" spans="1:14" x14ac:dyDescent="0.35">
      <c r="A409" s="6" t="s">
        <v>973</v>
      </c>
      <c r="B409" s="6" t="s">
        <v>39</v>
      </c>
      <c r="C409" s="6" t="s">
        <v>70</v>
      </c>
      <c r="D409" s="32">
        <v>327</v>
      </c>
      <c r="E409" s="20">
        <v>45958</v>
      </c>
      <c r="F409" s="32">
        <v>4000</v>
      </c>
      <c r="G409" s="20">
        <v>45958</v>
      </c>
      <c r="H409" s="44">
        <v>27</v>
      </c>
      <c r="I409" s="44">
        <v>70</v>
      </c>
      <c r="J409" s="6" t="s">
        <v>974</v>
      </c>
      <c r="K409" s="6" t="s">
        <v>516</v>
      </c>
      <c r="L409" s="56">
        <v>2022</v>
      </c>
      <c r="M409" s="12" t="str">
        <f>HYPERLINK("http://www.fireworks.ai", "www.fireworks.ai")</f>
        <v>www.fireworks.ai</v>
      </c>
      <c r="N409" s="12" t="str">
        <f>HYPERLINK("https://my.pitchbook.com?c=561272-14", "View Company Online")</f>
        <v>View Company Online</v>
      </c>
    </row>
    <row r="410" spans="1:14" x14ac:dyDescent="0.35">
      <c r="A410" s="5" t="s">
        <v>975</v>
      </c>
      <c r="B410" s="6" t="s">
        <v>1192</v>
      </c>
      <c r="C410" s="5" t="s">
        <v>159</v>
      </c>
      <c r="D410" s="31">
        <v>327</v>
      </c>
      <c r="E410" s="19">
        <v>45971</v>
      </c>
      <c r="F410" s="31">
        <v>549</v>
      </c>
      <c r="G410" s="19">
        <v>45971</v>
      </c>
      <c r="H410" s="43">
        <v>1</v>
      </c>
      <c r="I410" s="43">
        <v>97</v>
      </c>
      <c r="J410" s="5" t="s">
        <v>976</v>
      </c>
      <c r="K410" s="5" t="s">
        <v>135</v>
      </c>
      <c r="L410" s="55">
        <v>2019</v>
      </c>
      <c r="M410" s="11" t="str">
        <f>HYPERLINK("http://www.iambic.ai", "www.iambic.ai")</f>
        <v>www.iambic.ai</v>
      </c>
      <c r="N410" s="11" t="str">
        <f>HYPERLINK("https://my.pitchbook.com?c=435942-28", "View Company Online")</f>
        <v>View Company Online</v>
      </c>
    </row>
    <row r="411" spans="1:14" x14ac:dyDescent="0.35">
      <c r="A411" s="6" t="s">
        <v>977</v>
      </c>
      <c r="B411" s="6" t="s">
        <v>15</v>
      </c>
      <c r="C411" s="6" t="s">
        <v>156</v>
      </c>
      <c r="D411" s="32">
        <v>326.5</v>
      </c>
      <c r="E411" s="20">
        <v>45999</v>
      </c>
      <c r="F411" s="32">
        <v>1900</v>
      </c>
      <c r="G411" s="20">
        <v>45602</v>
      </c>
      <c r="H411" s="44">
        <v>16</v>
      </c>
      <c r="I411" s="44">
        <v>81</v>
      </c>
      <c r="J411" s="6" t="s">
        <v>978</v>
      </c>
      <c r="K411" s="6" t="s">
        <v>18</v>
      </c>
      <c r="L411" s="56">
        <v>2020</v>
      </c>
      <c r="M411" s="12" t="str">
        <f>HYPERLINK("http://www.writer.com", "www.writer.com")</f>
        <v>www.writer.com</v>
      </c>
      <c r="N411" s="12" t="str">
        <f>HYPERLINK("https://my.pitchbook.com?c=439866-01", "View Company Online")</f>
        <v>View Company Online</v>
      </c>
    </row>
    <row r="412" spans="1:14" x14ac:dyDescent="0.35">
      <c r="A412" s="5" t="s">
        <v>979</v>
      </c>
      <c r="B412" s="6" t="s">
        <v>1192</v>
      </c>
      <c r="C412" s="5" t="s">
        <v>48</v>
      </c>
      <c r="D412" s="31">
        <v>325.54000000000002</v>
      </c>
      <c r="E412" s="19">
        <v>45327</v>
      </c>
      <c r="F412" s="31">
        <v>59</v>
      </c>
      <c r="G412" s="19">
        <v>45327</v>
      </c>
      <c r="H412" s="43">
        <v>83</v>
      </c>
      <c r="I412" s="43">
        <v>4</v>
      </c>
      <c r="J412" s="5" t="s">
        <v>980</v>
      </c>
      <c r="K412" s="5" t="s">
        <v>352</v>
      </c>
      <c r="L412" s="55">
        <v>2019</v>
      </c>
      <c r="M412" s="11" t="str">
        <f>HYPERLINK("http://www.marcofi.com", "www.marcofi.com")</f>
        <v>www.marcofi.com</v>
      </c>
      <c r="N412" s="11" t="str">
        <f>HYPERLINK("https://my.pitchbook.com?c=438545-80", "View Company Online")</f>
        <v>View Company Online</v>
      </c>
    </row>
    <row r="413" spans="1:14" x14ac:dyDescent="0.35">
      <c r="A413" s="6" t="s">
        <v>981</v>
      </c>
      <c r="B413" s="6" t="s">
        <v>1192</v>
      </c>
      <c r="C413" s="6" t="s">
        <v>36</v>
      </c>
      <c r="D413" s="32">
        <v>325.3</v>
      </c>
      <c r="E413" s="20">
        <v>45572</v>
      </c>
      <c r="F413" s="32">
        <v>284.95</v>
      </c>
      <c r="G413" s="20">
        <v>44896</v>
      </c>
      <c r="H413" s="44">
        <v>79</v>
      </c>
      <c r="I413" s="44">
        <v>11</v>
      </c>
      <c r="J413" s="6" t="s">
        <v>982</v>
      </c>
      <c r="K413" s="6" t="s">
        <v>983</v>
      </c>
      <c r="L413" s="56">
        <v>2012</v>
      </c>
      <c r="M413" s="12" t="str">
        <f>HYPERLINK("http://www.agrevolution.in", "www.agrevolution.in")</f>
        <v>www.agrevolution.in</v>
      </c>
      <c r="N413" s="12" t="str">
        <f>HYPERLINK("https://my.pitchbook.com?c=154317-25", "View Company Online")</f>
        <v>View Company Online</v>
      </c>
    </row>
    <row r="414" spans="1:14" x14ac:dyDescent="0.35">
      <c r="A414" s="5" t="s">
        <v>984</v>
      </c>
      <c r="B414" s="5" t="s">
        <v>26</v>
      </c>
      <c r="C414" s="5" t="s">
        <v>27</v>
      </c>
      <c r="D414" s="31">
        <v>324.63</v>
      </c>
      <c r="E414" s="19">
        <v>45945</v>
      </c>
      <c r="F414" s="31">
        <v>162</v>
      </c>
      <c r="G414" s="19">
        <v>45945</v>
      </c>
      <c r="H414" s="43">
        <v>40</v>
      </c>
      <c r="I414" s="43">
        <v>37</v>
      </c>
      <c r="J414" s="5" t="s">
        <v>985</v>
      </c>
      <c r="K414" s="5" t="s">
        <v>18</v>
      </c>
      <c r="L414" s="55">
        <v>2014</v>
      </c>
      <c r="M414" s="11" t="str">
        <f>HYPERLINK("http://www.starship.xyz", "www.starship.xyz")</f>
        <v>www.starship.xyz</v>
      </c>
      <c r="N414" s="11" t="str">
        <f>HYPERLINK("https://my.pitchbook.com?c=167093-02", "View Company Online")</f>
        <v>View Company Online</v>
      </c>
    </row>
    <row r="415" spans="1:14" x14ac:dyDescent="0.35">
      <c r="A415" s="6" t="s">
        <v>986</v>
      </c>
      <c r="B415" s="6" t="s">
        <v>1192</v>
      </c>
      <c r="C415" s="6" t="s">
        <v>48</v>
      </c>
      <c r="D415" s="32">
        <v>324.61</v>
      </c>
      <c r="E415" s="20" t="s">
        <v>24</v>
      </c>
      <c r="F415" s="32">
        <v>1250</v>
      </c>
      <c r="G415" s="20">
        <v>44307</v>
      </c>
      <c r="H415" s="44">
        <v>48</v>
      </c>
      <c r="I415" s="44">
        <v>34</v>
      </c>
      <c r="J415" s="6" t="s">
        <v>987</v>
      </c>
      <c r="K415" s="6" t="s">
        <v>18</v>
      </c>
      <c r="L415" s="56" t="s">
        <v>24</v>
      </c>
      <c r="M415" s="12" t="str">
        <f>HYPERLINK("http://www.pilot.com", "www.pilot.com")</f>
        <v>www.pilot.com</v>
      </c>
      <c r="N415" s="12" t="str">
        <f>HYPERLINK("https://my.pitchbook.com?c=226728-64", "View Company Online")</f>
        <v>View Company Online</v>
      </c>
    </row>
    <row r="416" spans="1:14" x14ac:dyDescent="0.35">
      <c r="A416" s="5" t="s">
        <v>988</v>
      </c>
      <c r="B416" s="6" t="s">
        <v>1192</v>
      </c>
      <c r="C416" s="5" t="s">
        <v>48</v>
      </c>
      <c r="D416" s="31">
        <v>323.76</v>
      </c>
      <c r="E416" s="19">
        <v>44614</v>
      </c>
      <c r="F416" s="31">
        <v>122.02</v>
      </c>
      <c r="G416" s="19">
        <v>44251</v>
      </c>
      <c r="H416" s="43">
        <v>84</v>
      </c>
      <c r="I416" s="43">
        <v>4</v>
      </c>
      <c r="J416" s="5" t="s">
        <v>989</v>
      </c>
      <c r="K416" s="5" t="s">
        <v>68</v>
      </c>
      <c r="L416" s="55">
        <v>2015</v>
      </c>
      <c r="M416" s="11" t="str">
        <f>HYPERLINK("http://www.genesis.global", "www.genesis.global")</f>
        <v>www.genesis.global</v>
      </c>
      <c r="N416" s="11" t="str">
        <f>HYPERLINK("https://my.pitchbook.com?c=234583-21", "View Company Online")</f>
        <v>View Company Online</v>
      </c>
    </row>
    <row r="417" spans="1:14" x14ac:dyDescent="0.35">
      <c r="A417" s="6" t="s">
        <v>990</v>
      </c>
      <c r="B417" s="6" t="s">
        <v>1192</v>
      </c>
      <c r="C417" s="6" t="s">
        <v>36</v>
      </c>
      <c r="D417" s="32">
        <v>323</v>
      </c>
      <c r="E417" s="20">
        <v>44558</v>
      </c>
      <c r="F417" s="32">
        <v>2330</v>
      </c>
      <c r="G417" s="20">
        <v>44558</v>
      </c>
      <c r="H417" s="44">
        <v>29</v>
      </c>
      <c r="I417" s="44">
        <v>2</v>
      </c>
      <c r="J417" s="6" t="s">
        <v>991</v>
      </c>
      <c r="K417" s="6" t="s">
        <v>76</v>
      </c>
      <c r="L417" s="56">
        <v>2014</v>
      </c>
      <c r="M417" s="12" t="str">
        <f>HYPERLINK("http://www.uptake.com", "www.uptake.com")</f>
        <v>www.uptake.com</v>
      </c>
      <c r="N417" s="12" t="str">
        <f>HYPERLINK("https://my.pitchbook.com?c=114111-82", "View Company Online")</f>
        <v>View Company Online</v>
      </c>
    </row>
    <row r="418" spans="1:14" x14ac:dyDescent="0.35">
      <c r="A418" s="5" t="s">
        <v>992</v>
      </c>
      <c r="B418" s="5" t="s">
        <v>15</v>
      </c>
      <c r="C418" s="5" t="s">
        <v>193</v>
      </c>
      <c r="D418" s="31">
        <v>322.5</v>
      </c>
      <c r="E418" s="19">
        <v>45868</v>
      </c>
      <c r="F418" s="31">
        <v>285.95</v>
      </c>
      <c r="G418" s="19">
        <v>45868</v>
      </c>
      <c r="H418" s="43">
        <v>9</v>
      </c>
      <c r="I418" s="43">
        <v>89</v>
      </c>
      <c r="J418" s="5" t="s">
        <v>993</v>
      </c>
      <c r="K418" s="5" t="s">
        <v>994</v>
      </c>
      <c r="L418" s="55">
        <v>2015</v>
      </c>
      <c r="M418" s="11" t="str">
        <f>HYPERLINK("http://www.mojo.vision", "www.mojo.vision")</f>
        <v>www.mojo.vision</v>
      </c>
      <c r="N418" s="11" t="str">
        <f>HYPERLINK("https://my.pitchbook.com?c=234558-01", "View Company Online")</f>
        <v>View Company Online</v>
      </c>
    </row>
    <row r="419" spans="1:14" x14ac:dyDescent="0.35">
      <c r="A419" s="6" t="s">
        <v>995</v>
      </c>
      <c r="B419" s="6" t="s">
        <v>15</v>
      </c>
      <c r="C419" s="6" t="s">
        <v>156</v>
      </c>
      <c r="D419" s="32">
        <v>321.62</v>
      </c>
      <c r="E419" s="20">
        <v>45951</v>
      </c>
      <c r="F419" s="32">
        <v>862</v>
      </c>
      <c r="G419" s="20">
        <v>45951</v>
      </c>
      <c r="H419" s="44">
        <v>49</v>
      </c>
      <c r="I419" s="44">
        <v>46</v>
      </c>
      <c r="J419" s="6" t="s">
        <v>996</v>
      </c>
      <c r="K419" s="6" t="s">
        <v>18</v>
      </c>
      <c r="L419" s="56">
        <v>2022</v>
      </c>
      <c r="M419" s="12" t="str">
        <f>HYPERLINK("http://www.sesame.com", "www.sesame.com")</f>
        <v>www.sesame.com</v>
      </c>
      <c r="N419" s="12" t="str">
        <f>HYPERLINK("https://my.pitchbook.com?c=638695-45", "View Company Online")</f>
        <v>View Company Online</v>
      </c>
    </row>
    <row r="420" spans="1:14" x14ac:dyDescent="0.35">
      <c r="A420" s="5" t="s">
        <v>997</v>
      </c>
      <c r="B420" s="6" t="s">
        <v>1192</v>
      </c>
      <c r="C420" s="5" t="s">
        <v>159</v>
      </c>
      <c r="D420" s="31">
        <v>320</v>
      </c>
      <c r="E420" s="19">
        <v>45631</v>
      </c>
      <c r="F420" s="31">
        <v>1500</v>
      </c>
      <c r="G420" s="19">
        <v>45631</v>
      </c>
      <c r="H420" s="43">
        <v>48</v>
      </c>
      <c r="I420" s="43">
        <v>30</v>
      </c>
      <c r="J420" s="5" t="s">
        <v>998</v>
      </c>
      <c r="K420" s="5" t="s">
        <v>999</v>
      </c>
      <c r="L420" s="55">
        <v>2015</v>
      </c>
      <c r="M420" s="11" t="str">
        <f>HYPERLINK("http://www.bostongene.com", "www.bostongene.com")</f>
        <v>www.bostongene.com</v>
      </c>
      <c r="N420" s="11" t="str">
        <f>HYPERLINK("https://my.pitchbook.com?c=267087-79", "View Company Online")</f>
        <v>View Company Online</v>
      </c>
    </row>
    <row r="421" spans="1:14" x14ac:dyDescent="0.35">
      <c r="A421" s="6" t="s">
        <v>1000</v>
      </c>
      <c r="B421" s="6" t="s">
        <v>1192</v>
      </c>
      <c r="C421" s="6" t="s">
        <v>44</v>
      </c>
      <c r="D421" s="32">
        <v>319.08999999999997</v>
      </c>
      <c r="E421" s="20">
        <v>45960</v>
      </c>
      <c r="F421" s="32">
        <v>1002.5</v>
      </c>
      <c r="G421" s="20">
        <v>45960</v>
      </c>
      <c r="H421" s="44">
        <v>21</v>
      </c>
      <c r="I421" s="44">
        <v>77</v>
      </c>
      <c r="J421" s="6" t="s">
        <v>1001</v>
      </c>
      <c r="K421" s="6" t="s">
        <v>90</v>
      </c>
      <c r="L421" s="56">
        <v>2012</v>
      </c>
      <c r="M421" s="12" t="str">
        <f>HYPERLINK("http://www.mark43.com", "www.mark43.com")</f>
        <v>www.mark43.com</v>
      </c>
      <c r="N421" s="12" t="str">
        <f>HYPERLINK("https://my.pitchbook.com?c=57012-04", "View Company Online")</f>
        <v>View Company Online</v>
      </c>
    </row>
    <row r="422" spans="1:14" x14ac:dyDescent="0.35">
      <c r="A422" s="5" t="s">
        <v>1002</v>
      </c>
      <c r="B422" s="6" t="s">
        <v>1192</v>
      </c>
      <c r="C422" s="5" t="s">
        <v>159</v>
      </c>
      <c r="D422" s="31">
        <v>318.97000000000003</v>
      </c>
      <c r="E422" s="19">
        <v>45890</v>
      </c>
      <c r="F422" s="31">
        <v>950</v>
      </c>
      <c r="G422" s="19">
        <v>45890</v>
      </c>
      <c r="H422" s="43">
        <v>15</v>
      </c>
      <c r="I422" s="43">
        <v>76</v>
      </c>
      <c r="J422" s="5" t="s">
        <v>1003</v>
      </c>
      <c r="K422" s="5" t="s">
        <v>29</v>
      </c>
      <c r="L422" s="55">
        <v>2018</v>
      </c>
      <c r="M422" s="11" t="str">
        <f>HYPERLINK("http://usa.twinhealth.com", "usa.twinhealth.com")</f>
        <v>usa.twinhealth.com</v>
      </c>
      <c r="N422" s="11" t="str">
        <f>HYPERLINK("https://my.pitchbook.com?c=436675-69", "View Company Online")</f>
        <v>View Company Online</v>
      </c>
    </row>
    <row r="423" spans="1:14" x14ac:dyDescent="0.35">
      <c r="A423" s="6" t="s">
        <v>1004</v>
      </c>
      <c r="B423" s="6" t="s">
        <v>1192</v>
      </c>
      <c r="C423" s="6" t="s">
        <v>159</v>
      </c>
      <c r="D423" s="32">
        <v>317.48</v>
      </c>
      <c r="E423" s="20">
        <v>44937</v>
      </c>
      <c r="F423" s="32">
        <v>1506.93</v>
      </c>
      <c r="G423" s="20">
        <v>44508</v>
      </c>
      <c r="H423" s="44" t="s">
        <v>24</v>
      </c>
      <c r="I423" s="44" t="s">
        <v>24</v>
      </c>
      <c r="J423" s="6" t="s">
        <v>1005</v>
      </c>
      <c r="K423" s="6" t="s">
        <v>244</v>
      </c>
      <c r="L423" s="56">
        <v>2017</v>
      </c>
      <c r="M423" s="12" t="str">
        <f>HYPERLINK("http://www.edgemedicalrobotics.com", "www.edgemedicalrobotics.com")</f>
        <v>www.edgemedicalrobotics.com</v>
      </c>
      <c r="N423" s="12" t="str">
        <f>HYPERLINK("https://my.pitchbook.com?c=340753-60", "View Company Online")</f>
        <v>View Company Online</v>
      </c>
    </row>
    <row r="424" spans="1:14" x14ac:dyDescent="0.35">
      <c r="A424" s="5" t="s">
        <v>1006</v>
      </c>
      <c r="B424" s="6" t="s">
        <v>1192</v>
      </c>
      <c r="C424" s="5" t="s">
        <v>48</v>
      </c>
      <c r="D424" s="31">
        <v>316.11</v>
      </c>
      <c r="E424" s="19">
        <v>44154</v>
      </c>
      <c r="F424" s="31">
        <v>1892.8</v>
      </c>
      <c r="G424" s="19">
        <v>44154</v>
      </c>
      <c r="H424" s="43" t="s">
        <v>24</v>
      </c>
      <c r="I424" s="43" t="s">
        <v>24</v>
      </c>
      <c r="J424" s="5" t="s">
        <v>1007</v>
      </c>
      <c r="K424" s="5" t="s">
        <v>34</v>
      </c>
      <c r="L424" s="55">
        <v>2017</v>
      </c>
      <c r="M424" s="11" t="str">
        <f>HYPERLINK("http://www.aibank.com", "www.aibank.com")</f>
        <v>www.aibank.com</v>
      </c>
      <c r="N424" s="11" t="str">
        <f>HYPERLINK("https://my.pitchbook.com?c=453523-51", "View Company Online")</f>
        <v>View Company Online</v>
      </c>
    </row>
    <row r="425" spans="1:14" x14ac:dyDescent="0.35">
      <c r="A425" s="6" t="s">
        <v>1008</v>
      </c>
      <c r="B425" s="6" t="s">
        <v>1192</v>
      </c>
      <c r="C425" s="6" t="s">
        <v>44</v>
      </c>
      <c r="D425" s="32">
        <v>315.60000000000002</v>
      </c>
      <c r="E425" s="20">
        <v>45413</v>
      </c>
      <c r="F425" s="32">
        <v>915.2</v>
      </c>
      <c r="G425" s="20">
        <v>44322</v>
      </c>
      <c r="H425" s="44">
        <v>35</v>
      </c>
      <c r="I425" s="44">
        <v>45</v>
      </c>
      <c r="J425" s="6" t="s">
        <v>1009</v>
      </c>
      <c r="K425" s="6" t="s">
        <v>99</v>
      </c>
      <c r="L425" s="56">
        <v>2013</v>
      </c>
      <c r="M425" s="12" t="str">
        <f>HYPERLINK("http://www.shift-technology.com", "www.shift-technology.com")</f>
        <v>www.shift-technology.com</v>
      </c>
      <c r="N425" s="12" t="str">
        <f>HYPERLINK("https://my.pitchbook.com?c=91659-16", "View Company Online")</f>
        <v>View Company Online</v>
      </c>
    </row>
    <row r="426" spans="1:14" x14ac:dyDescent="0.35">
      <c r="A426" s="5" t="s">
        <v>1010</v>
      </c>
      <c r="B426" s="5" t="s">
        <v>15</v>
      </c>
      <c r="C426" s="5" t="s">
        <v>16</v>
      </c>
      <c r="D426" s="31">
        <v>315.39</v>
      </c>
      <c r="E426" s="19">
        <v>45838</v>
      </c>
      <c r="F426" s="31">
        <v>1006.97</v>
      </c>
      <c r="G426" s="19">
        <v>45838</v>
      </c>
      <c r="H426" s="43">
        <v>39</v>
      </c>
      <c r="I426" s="43">
        <v>58</v>
      </c>
      <c r="J426" s="5" t="s">
        <v>1011</v>
      </c>
      <c r="K426" s="5" t="s">
        <v>669</v>
      </c>
      <c r="L426" s="55">
        <v>2014</v>
      </c>
      <c r="M426" s="11" t="str">
        <f>HYPERLINK("http://www.preferred.jp", "www.preferred.jp")</f>
        <v>www.preferred.jp</v>
      </c>
      <c r="N426" s="11" t="str">
        <f>HYPERLINK("https://my.pitchbook.com?c=102812-59", "View Company Online")</f>
        <v>View Company Online</v>
      </c>
    </row>
    <row r="427" spans="1:14" x14ac:dyDescent="0.35">
      <c r="A427" s="6" t="s">
        <v>1012</v>
      </c>
      <c r="B427" s="6" t="s">
        <v>15</v>
      </c>
      <c r="C427" s="6" t="s">
        <v>22</v>
      </c>
      <c r="D427" s="32">
        <v>315.3</v>
      </c>
      <c r="E427" s="20">
        <v>45691</v>
      </c>
      <c r="F427" s="32" t="s">
        <v>24</v>
      </c>
      <c r="G427" s="20" t="s">
        <v>24</v>
      </c>
      <c r="H427" s="44" t="s">
        <v>24</v>
      </c>
      <c r="I427" s="44" t="s">
        <v>24</v>
      </c>
      <c r="J427" s="6" t="s">
        <v>1013</v>
      </c>
      <c r="K427" s="6" t="s">
        <v>34</v>
      </c>
      <c r="L427" s="56">
        <v>2009</v>
      </c>
      <c r="M427" s="12" t="str">
        <f>HYPERLINK("http://www.cloudwise.sg", "www.cloudwise.sg")</f>
        <v>www.cloudwise.sg</v>
      </c>
      <c r="N427" s="12" t="str">
        <f>HYPERLINK("https://my.pitchbook.com?c=110272-69", "View Company Online")</f>
        <v>View Company Online</v>
      </c>
    </row>
    <row r="428" spans="1:14" x14ac:dyDescent="0.35">
      <c r="A428" s="5" t="s">
        <v>1014</v>
      </c>
      <c r="B428" s="6" t="s">
        <v>1192</v>
      </c>
      <c r="C428" s="5" t="s">
        <v>159</v>
      </c>
      <c r="D428" s="31">
        <v>314.74</v>
      </c>
      <c r="E428" s="19">
        <v>45873</v>
      </c>
      <c r="F428" s="31" t="s">
        <v>24</v>
      </c>
      <c r="G428" s="19" t="s">
        <v>24</v>
      </c>
      <c r="H428" s="43" t="s">
        <v>24</v>
      </c>
      <c r="I428" s="43" t="s">
        <v>24</v>
      </c>
      <c r="J428" s="5" t="s">
        <v>1015</v>
      </c>
      <c r="K428" s="5" t="s">
        <v>400</v>
      </c>
      <c r="L428" s="55">
        <v>2020</v>
      </c>
      <c r="M428" s="11" t="str">
        <f>HYPERLINK("http://www.metistechbio.com", "www.metistechbio.com")</f>
        <v>www.metistechbio.com</v>
      </c>
      <c r="N428" s="11" t="str">
        <f>HYPERLINK("https://my.pitchbook.com?c=433452-70", "View Company Online")</f>
        <v>View Company Online</v>
      </c>
    </row>
    <row r="429" spans="1:14" x14ac:dyDescent="0.35">
      <c r="A429" s="6" t="s">
        <v>1016</v>
      </c>
      <c r="B429" s="6" t="s">
        <v>1192</v>
      </c>
      <c r="C429" s="6" t="s">
        <v>44</v>
      </c>
      <c r="D429" s="32">
        <v>314.60000000000002</v>
      </c>
      <c r="E429" s="20">
        <v>44491</v>
      </c>
      <c r="F429" s="32">
        <v>2100</v>
      </c>
      <c r="G429" s="20">
        <v>44491</v>
      </c>
      <c r="H429" s="44">
        <v>43</v>
      </c>
      <c r="I429" s="44">
        <v>8</v>
      </c>
      <c r="J429" s="6" t="s">
        <v>1017</v>
      </c>
      <c r="K429" s="6" t="s">
        <v>1018</v>
      </c>
      <c r="L429" s="56">
        <v>2010</v>
      </c>
      <c r="M429" s="12" t="str">
        <f>HYPERLINK("http://www.everlaw.com", "www.everlaw.com")</f>
        <v>www.everlaw.com</v>
      </c>
      <c r="N429" s="12" t="str">
        <f>HYPERLINK("https://my.pitchbook.com?c=53660-26", "View Company Online")</f>
        <v>View Company Online</v>
      </c>
    </row>
    <row r="430" spans="1:14" x14ac:dyDescent="0.35">
      <c r="A430" s="5" t="s">
        <v>1019</v>
      </c>
      <c r="B430" s="5" t="s">
        <v>15</v>
      </c>
      <c r="C430" s="5" t="s">
        <v>22</v>
      </c>
      <c r="D430" s="31">
        <v>314.22000000000003</v>
      </c>
      <c r="E430" s="19">
        <v>45363</v>
      </c>
      <c r="F430" s="31">
        <v>314.5</v>
      </c>
      <c r="G430" s="19">
        <v>45363</v>
      </c>
      <c r="H430" s="43">
        <v>36</v>
      </c>
      <c r="I430" s="43">
        <v>50</v>
      </c>
      <c r="J430" s="5" t="s">
        <v>1020</v>
      </c>
      <c r="K430" s="5" t="s">
        <v>90</v>
      </c>
      <c r="L430" s="55">
        <v>2019</v>
      </c>
      <c r="M430" s="11" t="str">
        <f>HYPERLINK("http://www.settle.com", "www.settle.com")</f>
        <v>www.settle.com</v>
      </c>
      <c r="N430" s="11" t="str">
        <f>HYPERLINK("https://my.pitchbook.com?c=436646-44", "View Company Online")</f>
        <v>View Company Online</v>
      </c>
    </row>
    <row r="431" spans="1:14" x14ac:dyDescent="0.35">
      <c r="A431" s="6" t="s">
        <v>1021</v>
      </c>
      <c r="B431" s="6" t="s">
        <v>1192</v>
      </c>
      <c r="C431" s="6" t="s">
        <v>44</v>
      </c>
      <c r="D431" s="32">
        <v>314</v>
      </c>
      <c r="E431" s="20">
        <v>45383</v>
      </c>
      <c r="F431" s="32">
        <v>669</v>
      </c>
      <c r="G431" s="20">
        <v>44204</v>
      </c>
      <c r="H431" s="44" t="s">
        <v>24</v>
      </c>
      <c r="I431" s="44" t="s">
        <v>24</v>
      </c>
      <c r="J431" s="6" t="s">
        <v>1022</v>
      </c>
      <c r="K431" s="6" t="s">
        <v>219</v>
      </c>
      <c r="L431" s="56">
        <v>2015</v>
      </c>
      <c r="M431" s="12" t="str">
        <f>HYPERLINK("http://www.woqukaoqin.cn", "www.woqukaoqin.cn")</f>
        <v>www.woqukaoqin.cn</v>
      </c>
      <c r="N431" s="12" t="str">
        <f>HYPERLINK("https://my.pitchbook.com?c=227512-27", "View Company Online")</f>
        <v>View Company Online</v>
      </c>
    </row>
    <row r="432" spans="1:14" x14ac:dyDescent="0.35">
      <c r="A432" s="5" t="s">
        <v>1023</v>
      </c>
      <c r="B432" s="5" t="s">
        <v>26</v>
      </c>
      <c r="C432" s="5" t="s">
        <v>55</v>
      </c>
      <c r="D432" s="31">
        <v>313.72000000000003</v>
      </c>
      <c r="E432" s="19">
        <v>45894</v>
      </c>
      <c r="F432" s="31">
        <v>858</v>
      </c>
      <c r="G432" s="19">
        <v>44818</v>
      </c>
      <c r="H432" s="43" t="s">
        <v>24</v>
      </c>
      <c r="I432" s="43" t="s">
        <v>24</v>
      </c>
      <c r="J432" s="5" t="s">
        <v>1024</v>
      </c>
      <c r="K432" s="5" t="s">
        <v>34</v>
      </c>
      <c r="L432" s="55">
        <v>2016</v>
      </c>
      <c r="M432" s="11" t="str">
        <f>HYPERLINK("http://www.mech-mind.com", "www.mech-mind.com")</f>
        <v>www.mech-mind.com</v>
      </c>
      <c r="N432" s="11" t="str">
        <f>HYPERLINK("https://my.pitchbook.com?c=265626-64", "View Company Online")</f>
        <v>View Company Online</v>
      </c>
    </row>
    <row r="433" spans="1:14" x14ac:dyDescent="0.35">
      <c r="A433" s="6" t="s">
        <v>1025</v>
      </c>
      <c r="B433" s="6" t="s">
        <v>15</v>
      </c>
      <c r="C433" s="6" t="s">
        <v>193</v>
      </c>
      <c r="D433" s="32">
        <v>313.60000000000002</v>
      </c>
      <c r="E433" s="20">
        <v>45938</v>
      </c>
      <c r="F433" s="32">
        <v>1000</v>
      </c>
      <c r="G433" s="20">
        <v>44088</v>
      </c>
      <c r="H433" s="44">
        <v>48</v>
      </c>
      <c r="I433" s="44">
        <v>47</v>
      </c>
      <c r="J433" s="6" t="s">
        <v>1026</v>
      </c>
      <c r="K433" s="6" t="s">
        <v>99</v>
      </c>
      <c r="L433" s="56">
        <v>2014</v>
      </c>
      <c r="M433" s="12" t="str">
        <f>HYPERLINK("http://www.diffuse.ly", "www.diffuse.ly")</f>
        <v>www.diffuse.ly</v>
      </c>
      <c r="N433" s="12" t="str">
        <f>HYPERLINK("https://my.pitchbook.com?c=181749-07", "View Company Online")</f>
        <v>View Company Online</v>
      </c>
    </row>
    <row r="434" spans="1:14" x14ac:dyDescent="0.35">
      <c r="A434" s="5" t="s">
        <v>1027</v>
      </c>
      <c r="B434" s="6" t="s">
        <v>1192</v>
      </c>
      <c r="C434" s="5" t="s">
        <v>44</v>
      </c>
      <c r="D434" s="31">
        <v>313</v>
      </c>
      <c r="E434" s="19">
        <v>45897</v>
      </c>
      <c r="F434" s="31">
        <v>2000</v>
      </c>
      <c r="G434" s="19">
        <v>45897</v>
      </c>
      <c r="H434" s="43">
        <v>20</v>
      </c>
      <c r="I434" s="43">
        <v>71</v>
      </c>
      <c r="J434" s="5" t="s">
        <v>1028</v>
      </c>
      <c r="K434" s="5" t="s">
        <v>1029</v>
      </c>
      <c r="L434" s="55">
        <v>2014</v>
      </c>
      <c r="M434" s="11" t="str">
        <f>HYPERLINK("http://www.framer.com", "www.framer.com")</f>
        <v>www.framer.com</v>
      </c>
      <c r="N434" s="11" t="str">
        <f>HYPERLINK("https://my.pitchbook.com?c=109588-24", "View Company Online")</f>
        <v>View Company Online</v>
      </c>
    </row>
    <row r="435" spans="1:14" x14ac:dyDescent="0.35">
      <c r="A435" s="6" t="s">
        <v>1030</v>
      </c>
      <c r="B435" s="6" t="s">
        <v>39</v>
      </c>
      <c r="C435" s="6" t="s">
        <v>40</v>
      </c>
      <c r="D435" s="32">
        <v>311.43</v>
      </c>
      <c r="E435" s="20">
        <v>45656</v>
      </c>
      <c r="F435" s="32">
        <v>646.37</v>
      </c>
      <c r="G435" s="20">
        <v>45631</v>
      </c>
      <c r="H435" s="44">
        <v>43</v>
      </c>
      <c r="I435" s="44">
        <v>55</v>
      </c>
      <c r="J435" s="6" t="s">
        <v>1031</v>
      </c>
      <c r="K435" s="6" t="s">
        <v>451</v>
      </c>
      <c r="L435" s="56">
        <v>2017</v>
      </c>
      <c r="M435" s="12" t="str">
        <f>HYPERLINK("http://www.syntiant.com", "www.syntiant.com")</f>
        <v>www.syntiant.com</v>
      </c>
      <c r="N435" s="12" t="str">
        <f>HYPERLINK("https://my.pitchbook.com?c=184026-16", "View Company Online")</f>
        <v>View Company Online</v>
      </c>
    </row>
    <row r="436" spans="1:14" x14ac:dyDescent="0.35">
      <c r="A436" s="5" t="s">
        <v>1032</v>
      </c>
      <c r="B436" s="6" t="s">
        <v>1192</v>
      </c>
      <c r="C436" s="5" t="s">
        <v>159</v>
      </c>
      <c r="D436" s="31">
        <v>310.89</v>
      </c>
      <c r="E436" s="19">
        <v>44621</v>
      </c>
      <c r="F436" s="31">
        <v>1453.36</v>
      </c>
      <c r="G436" s="19">
        <v>44408</v>
      </c>
      <c r="H436" s="43" t="s">
        <v>24</v>
      </c>
      <c r="I436" s="43" t="s">
        <v>24</v>
      </c>
      <c r="J436" s="5" t="s">
        <v>1033</v>
      </c>
      <c r="K436" s="5" t="s">
        <v>34</v>
      </c>
      <c r="L436" s="55">
        <v>2017</v>
      </c>
      <c r="M436" s="11" t="str">
        <f>HYPERLINK("http://www.shukun.net", "www.shukun.net")</f>
        <v>www.shukun.net</v>
      </c>
      <c r="N436" s="11" t="str">
        <f>HYPERLINK("https://my.pitchbook.com?c=266625-73", "View Company Online")</f>
        <v>View Company Online</v>
      </c>
    </row>
    <row r="437" spans="1:14" x14ac:dyDescent="0.35">
      <c r="A437" s="6" t="s">
        <v>1034</v>
      </c>
      <c r="B437" s="6" t="s">
        <v>1192</v>
      </c>
      <c r="C437" s="6" t="s">
        <v>36</v>
      </c>
      <c r="D437" s="32">
        <v>310.33</v>
      </c>
      <c r="E437" s="20">
        <v>44980</v>
      </c>
      <c r="F437" s="32">
        <v>1200.01</v>
      </c>
      <c r="G437" s="20">
        <v>44663</v>
      </c>
      <c r="H437" s="44">
        <v>63</v>
      </c>
      <c r="I437" s="44">
        <v>32</v>
      </c>
      <c r="J437" s="6" t="s">
        <v>1035</v>
      </c>
      <c r="K437" s="6" t="s">
        <v>539</v>
      </c>
      <c r="L437" s="56">
        <v>2018</v>
      </c>
      <c r="M437" s="12" t="str">
        <f>HYPERLINK("http://www.choco.com", "www.choco.com")</f>
        <v>www.choco.com</v>
      </c>
      <c r="N437" s="12" t="str">
        <f>HYPERLINK("https://my.pitchbook.com?c=277201-18", "View Company Online")</f>
        <v>View Company Online</v>
      </c>
    </row>
    <row r="438" spans="1:14" x14ac:dyDescent="0.35">
      <c r="A438" s="5" t="s">
        <v>1036</v>
      </c>
      <c r="B438" s="6" t="s">
        <v>1192</v>
      </c>
      <c r="C438" s="5" t="s">
        <v>159</v>
      </c>
      <c r="D438" s="31">
        <v>310</v>
      </c>
      <c r="E438" s="19">
        <v>45832</v>
      </c>
      <c r="F438" s="31">
        <v>271.5</v>
      </c>
      <c r="G438" s="19">
        <v>45832</v>
      </c>
      <c r="H438" s="43">
        <v>2</v>
      </c>
      <c r="I438" s="43">
        <v>91</v>
      </c>
      <c r="J438" s="5" t="s">
        <v>1037</v>
      </c>
      <c r="K438" s="5" t="s">
        <v>50</v>
      </c>
      <c r="L438" s="55">
        <v>2018</v>
      </c>
      <c r="M438" s="11" t="str">
        <f>HYPERLINK("http://www.neuron23.com", "www.neuron23.com")</f>
        <v>www.neuron23.com</v>
      </c>
      <c r="N438" s="11" t="str">
        <f>HYPERLINK("https://my.pitchbook.com?c=265320-91", "View Company Online")</f>
        <v>View Company Online</v>
      </c>
    </row>
    <row r="439" spans="1:14" x14ac:dyDescent="0.35">
      <c r="A439" s="6" t="s">
        <v>1038</v>
      </c>
      <c r="B439" s="6" t="s">
        <v>1192</v>
      </c>
      <c r="C439" s="6" t="s">
        <v>44</v>
      </c>
      <c r="D439" s="32">
        <v>310</v>
      </c>
      <c r="E439" s="20">
        <v>45800</v>
      </c>
      <c r="F439" s="32" t="s">
        <v>24</v>
      </c>
      <c r="G439" s="20" t="s">
        <v>24</v>
      </c>
      <c r="H439" s="44">
        <v>64</v>
      </c>
      <c r="I439" s="44">
        <v>25</v>
      </c>
      <c r="J439" s="6" t="s">
        <v>1039</v>
      </c>
      <c r="K439" s="6" t="s">
        <v>1040</v>
      </c>
      <c r="L439" s="56">
        <v>2014</v>
      </c>
      <c r="M439" s="12" t="str">
        <f>HYPERLINK("http://www.ontra.ai", "www.ontra.ai")</f>
        <v>www.ontra.ai</v>
      </c>
      <c r="N439" s="12" t="str">
        <f>HYPERLINK("https://my.pitchbook.com?c=101905-21", "View Company Online")</f>
        <v>View Company Online</v>
      </c>
    </row>
    <row r="440" spans="1:14" x14ac:dyDescent="0.35">
      <c r="A440" s="5" t="s">
        <v>1041</v>
      </c>
      <c r="B440" s="5" t="s">
        <v>15</v>
      </c>
      <c r="C440" s="5" t="s">
        <v>22</v>
      </c>
      <c r="D440" s="31">
        <v>309.92</v>
      </c>
      <c r="E440" s="19">
        <v>44873</v>
      </c>
      <c r="F440" s="31">
        <v>1500</v>
      </c>
      <c r="G440" s="19">
        <v>44454</v>
      </c>
      <c r="H440" s="43">
        <v>76</v>
      </c>
      <c r="I440" s="43">
        <v>2</v>
      </c>
      <c r="J440" s="5" t="s">
        <v>1042</v>
      </c>
      <c r="K440" s="5" t="s">
        <v>1043</v>
      </c>
      <c r="L440" s="55">
        <v>2010</v>
      </c>
      <c r="M440" s="11" t="str">
        <f>HYPERLINK("http://www.matillion.com", "www.matillion.com")</f>
        <v>www.matillion.com</v>
      </c>
      <c r="N440" s="11" t="str">
        <f>HYPERLINK("https://my.pitchbook.com?c=168524-38", "View Company Online")</f>
        <v>View Company Online</v>
      </c>
    </row>
    <row r="441" spans="1:14" x14ac:dyDescent="0.35">
      <c r="A441" s="6" t="s">
        <v>1044</v>
      </c>
      <c r="B441" s="6" t="s">
        <v>15</v>
      </c>
      <c r="C441" s="6" t="s">
        <v>22</v>
      </c>
      <c r="D441" s="32">
        <v>309.56</v>
      </c>
      <c r="E441" s="20">
        <v>45133</v>
      </c>
      <c r="F441" s="32">
        <v>260</v>
      </c>
      <c r="G441" s="20">
        <v>45133</v>
      </c>
      <c r="H441" s="44">
        <v>19</v>
      </c>
      <c r="I441" s="44">
        <v>77</v>
      </c>
      <c r="J441" s="6" t="s">
        <v>1045</v>
      </c>
      <c r="K441" s="6" t="s">
        <v>90</v>
      </c>
      <c r="L441" s="56">
        <v>2011</v>
      </c>
      <c r="M441" s="12" t="str">
        <f>HYPERLINK("http://www.enigma.com", "www.enigma.com")</f>
        <v>www.enigma.com</v>
      </c>
      <c r="N441" s="12" t="str">
        <f>HYPERLINK("https://my.pitchbook.com?c=56212-03", "View Company Online")</f>
        <v>View Company Online</v>
      </c>
    </row>
    <row r="442" spans="1:14" x14ac:dyDescent="0.35">
      <c r="A442" s="5" t="s">
        <v>1046</v>
      </c>
      <c r="B442" s="6" t="s">
        <v>1192</v>
      </c>
      <c r="C442" s="5" t="s">
        <v>36</v>
      </c>
      <c r="D442" s="31">
        <v>309</v>
      </c>
      <c r="E442" s="19">
        <v>46071</v>
      </c>
      <c r="F442" s="31">
        <v>443.91</v>
      </c>
      <c r="G442" s="19">
        <v>46071</v>
      </c>
      <c r="H442" s="43">
        <v>37</v>
      </c>
      <c r="I442" s="43">
        <v>58</v>
      </c>
      <c r="J442" s="5" t="s">
        <v>1047</v>
      </c>
      <c r="K442" s="5" t="s">
        <v>135</v>
      </c>
      <c r="L442" s="55">
        <v>2014</v>
      </c>
      <c r="M442" s="11" t="str">
        <f>HYPERLINK("http://www.zeitview.com", "www.zeitview.com")</f>
        <v>www.zeitview.com</v>
      </c>
      <c r="N442" s="11" t="str">
        <f>HYPERLINK("https://my.pitchbook.com?c=110585-80", "View Company Online")</f>
        <v>View Company Online</v>
      </c>
    </row>
    <row r="443" spans="1:14" x14ac:dyDescent="0.35">
      <c r="A443" s="6" t="s">
        <v>1048</v>
      </c>
      <c r="B443" s="6" t="s">
        <v>26</v>
      </c>
      <c r="C443" s="6" t="s">
        <v>55</v>
      </c>
      <c r="D443" s="32">
        <v>307.35000000000002</v>
      </c>
      <c r="E443" s="20">
        <v>45727</v>
      </c>
      <c r="F443" s="32">
        <v>1650</v>
      </c>
      <c r="G443" s="20">
        <v>45727</v>
      </c>
      <c r="H443" s="44">
        <v>74</v>
      </c>
      <c r="I443" s="44">
        <v>23</v>
      </c>
      <c r="J443" s="6" t="s">
        <v>1049</v>
      </c>
      <c r="K443" s="6" t="s">
        <v>516</v>
      </c>
      <c r="L443" s="56">
        <v>2017</v>
      </c>
      <c r="M443" s="12" t="str">
        <f>HYPERLINK("http://www.dexterity.ai", "www.dexterity.ai")</f>
        <v>www.dexterity.ai</v>
      </c>
      <c r="N443" s="12" t="str">
        <f>HYPERLINK("https://my.pitchbook.com?c=228289-06", "View Company Online")</f>
        <v>View Company Online</v>
      </c>
    </row>
    <row r="444" spans="1:14" x14ac:dyDescent="0.35">
      <c r="A444" s="5" t="s">
        <v>1050</v>
      </c>
      <c r="B444" s="5" t="s">
        <v>26</v>
      </c>
      <c r="C444" s="5" t="s">
        <v>27</v>
      </c>
      <c r="D444" s="31">
        <v>307.05</v>
      </c>
      <c r="E444" s="19">
        <v>46079</v>
      </c>
      <c r="F444" s="31">
        <v>734</v>
      </c>
      <c r="G444" s="19">
        <v>45237</v>
      </c>
      <c r="H444" s="43">
        <v>2</v>
      </c>
      <c r="I444" s="43">
        <v>96</v>
      </c>
      <c r="J444" s="5" t="s">
        <v>1051</v>
      </c>
      <c r="K444" s="5" t="s">
        <v>1052</v>
      </c>
      <c r="L444" s="55">
        <v>2017</v>
      </c>
      <c r="M444" s="11" t="str">
        <f>HYPERLINK("http://www.maymobility.com", "www.maymobility.com")</f>
        <v>www.maymobility.com</v>
      </c>
      <c r="N444" s="11" t="str">
        <f>HYPERLINK("https://my.pitchbook.com?c=180189-19", "View Company Online")</f>
        <v>View Company Online</v>
      </c>
    </row>
    <row r="445" spans="1:14" x14ac:dyDescent="0.35">
      <c r="A445" s="6" t="s">
        <v>1053</v>
      </c>
      <c r="B445" s="6" t="s">
        <v>1192</v>
      </c>
      <c r="C445" s="6" t="s">
        <v>159</v>
      </c>
      <c r="D445" s="32">
        <v>306.25</v>
      </c>
      <c r="E445" s="20">
        <v>45107</v>
      </c>
      <c r="F445" s="32">
        <v>565</v>
      </c>
      <c r="G445" s="20">
        <v>44517</v>
      </c>
      <c r="H445" s="44">
        <v>19</v>
      </c>
      <c r="I445" s="44">
        <v>41</v>
      </c>
      <c r="J445" s="6" t="s">
        <v>1054</v>
      </c>
      <c r="K445" s="6" t="s">
        <v>746</v>
      </c>
      <c r="L445" s="56">
        <v>1997</v>
      </c>
      <c r="M445" s="12" t="str">
        <f>HYPERLINK("http://www.saama.com", "www.saama.com")</f>
        <v>www.saama.com</v>
      </c>
      <c r="N445" s="12" t="str">
        <f>HYPERLINK("https://my.pitchbook.com?c=53767-27", "View Company Online")</f>
        <v>View Company Online</v>
      </c>
    </row>
    <row r="446" spans="1:14" x14ac:dyDescent="0.35">
      <c r="A446" s="5" t="s">
        <v>1055</v>
      </c>
      <c r="B446" s="5" t="s">
        <v>39</v>
      </c>
      <c r="C446" s="5" t="s">
        <v>178</v>
      </c>
      <c r="D446" s="31">
        <v>305.08</v>
      </c>
      <c r="E446" s="19">
        <v>46038</v>
      </c>
      <c r="F446" s="31">
        <v>1061</v>
      </c>
      <c r="G446" s="19">
        <v>46038</v>
      </c>
      <c r="H446" s="43">
        <v>85</v>
      </c>
      <c r="I446" s="43">
        <v>5</v>
      </c>
      <c r="J446" s="5" t="s">
        <v>1056</v>
      </c>
      <c r="K446" s="5" t="s">
        <v>1057</v>
      </c>
      <c r="L446" s="55">
        <v>2023</v>
      </c>
      <c r="M446" s="11" t="str">
        <f>HYPERLINK("http://www.positron.ai", "www.positron.ai")</f>
        <v>www.positron.ai</v>
      </c>
      <c r="N446" s="11" t="str">
        <f>HYPERLINK("https://my.pitchbook.com?c=571687-66", "View Company Online")</f>
        <v>View Company Online</v>
      </c>
    </row>
    <row r="447" spans="1:14" x14ac:dyDescent="0.35">
      <c r="A447" s="6" t="s">
        <v>1058</v>
      </c>
      <c r="B447" s="6" t="s">
        <v>1192</v>
      </c>
      <c r="C447" s="6" t="s">
        <v>159</v>
      </c>
      <c r="D447" s="32">
        <v>304.5</v>
      </c>
      <c r="E447" s="20">
        <v>45971</v>
      </c>
      <c r="F447" s="32">
        <v>238.9</v>
      </c>
      <c r="G447" s="20">
        <v>45960</v>
      </c>
      <c r="H447" s="44">
        <v>4</v>
      </c>
      <c r="I447" s="44">
        <v>94</v>
      </c>
      <c r="J447" s="6" t="s">
        <v>1059</v>
      </c>
      <c r="K447" s="6" t="s">
        <v>549</v>
      </c>
      <c r="L447" s="56">
        <v>2016</v>
      </c>
      <c r="M447" s="12" t="str">
        <f>HYPERLINK("http://www.arbor.bio", "www.arbor.bio")</f>
        <v>www.arbor.bio</v>
      </c>
      <c r="N447" s="12" t="str">
        <f>HYPERLINK("https://my.pitchbook.com?c=181726-21", "View Company Online")</f>
        <v>View Company Online</v>
      </c>
    </row>
    <row r="448" spans="1:14" x14ac:dyDescent="0.35">
      <c r="A448" s="5" t="s">
        <v>1060</v>
      </c>
      <c r="B448" s="6" t="s">
        <v>1192</v>
      </c>
      <c r="C448" s="5" t="s">
        <v>159</v>
      </c>
      <c r="D448" s="31">
        <v>303.20999999999998</v>
      </c>
      <c r="E448" s="19">
        <v>46063</v>
      </c>
      <c r="F448" s="31">
        <v>1300</v>
      </c>
      <c r="G448" s="19">
        <v>45296</v>
      </c>
      <c r="H448" s="43">
        <v>21</v>
      </c>
      <c r="I448" s="43">
        <v>69</v>
      </c>
      <c r="J448" s="5" t="s">
        <v>1061</v>
      </c>
      <c r="K448" s="5" t="s">
        <v>90</v>
      </c>
      <c r="L448" s="55">
        <v>2012</v>
      </c>
      <c r="M448" s="11" t="str">
        <f>HYPERLINK("http://www.doc.group", "www.doc.group")</f>
        <v>www.doc.group</v>
      </c>
      <c r="N448" s="11" t="str">
        <f>HYPERLINK("https://my.pitchbook.com?c=235203-76", "View Company Online")</f>
        <v>View Company Online</v>
      </c>
    </row>
    <row r="449" spans="1:14" x14ac:dyDescent="0.35">
      <c r="A449" s="6" t="s">
        <v>1062</v>
      </c>
      <c r="B449" s="6" t="s">
        <v>1192</v>
      </c>
      <c r="C449" s="6" t="s">
        <v>48</v>
      </c>
      <c r="D449" s="32">
        <v>303.19</v>
      </c>
      <c r="E449" s="20">
        <v>45875</v>
      </c>
      <c r="F449" s="32">
        <v>632.5</v>
      </c>
      <c r="G449" s="20">
        <v>45875</v>
      </c>
      <c r="H449" s="44">
        <v>60</v>
      </c>
      <c r="I449" s="44">
        <v>23</v>
      </c>
      <c r="J449" s="6" t="s">
        <v>1063</v>
      </c>
      <c r="K449" s="6" t="s">
        <v>916</v>
      </c>
      <c r="L449" s="56">
        <v>2012</v>
      </c>
      <c r="M449" s="12" t="str">
        <f>HYPERLINK("http://www.beambenefits.com", "www.beambenefits.com")</f>
        <v>www.beambenefits.com</v>
      </c>
      <c r="N449" s="12" t="str">
        <f>HYPERLINK("https://my.pitchbook.com?c=65829-16", "View Company Online")</f>
        <v>View Company Online</v>
      </c>
    </row>
    <row r="450" spans="1:14" x14ac:dyDescent="0.35">
      <c r="A450" s="5" t="s">
        <v>1064</v>
      </c>
      <c r="B450" s="6" t="s">
        <v>1192</v>
      </c>
      <c r="C450" s="5" t="s">
        <v>48</v>
      </c>
      <c r="D450" s="31">
        <v>302.85000000000002</v>
      </c>
      <c r="E450" s="19">
        <v>45392</v>
      </c>
      <c r="F450" s="31">
        <v>1600</v>
      </c>
      <c r="G450" s="19">
        <v>45392</v>
      </c>
      <c r="H450" s="43">
        <v>77</v>
      </c>
      <c r="I450" s="43">
        <v>21</v>
      </c>
      <c r="J450" s="5" t="s">
        <v>1065</v>
      </c>
      <c r="K450" s="5" t="s">
        <v>234</v>
      </c>
      <c r="L450" s="55">
        <v>2013</v>
      </c>
      <c r="M450" s="11" t="str">
        <f>HYPERLINK("http://www.floqast.com", "www.floqast.com")</f>
        <v>www.floqast.com</v>
      </c>
      <c r="N450" s="11" t="str">
        <f>HYPERLINK("https://my.pitchbook.com?c=57762-82", "View Company Online")</f>
        <v>View Company Online</v>
      </c>
    </row>
    <row r="451" spans="1:14" x14ac:dyDescent="0.35">
      <c r="A451" s="6" t="s">
        <v>1066</v>
      </c>
      <c r="B451" s="6" t="s">
        <v>1192</v>
      </c>
      <c r="C451" s="6" t="s">
        <v>44</v>
      </c>
      <c r="D451" s="32">
        <v>302.60000000000002</v>
      </c>
      <c r="E451" s="20">
        <v>44881</v>
      </c>
      <c r="F451" s="32">
        <v>775</v>
      </c>
      <c r="G451" s="20">
        <v>44782</v>
      </c>
      <c r="H451" s="44">
        <v>39</v>
      </c>
      <c r="I451" s="44">
        <v>36</v>
      </c>
      <c r="J451" s="6" t="s">
        <v>1067</v>
      </c>
      <c r="K451" s="6" t="s">
        <v>18</v>
      </c>
      <c r="L451" s="56">
        <v>2013</v>
      </c>
      <c r="M451" s="12" t="str">
        <f>HYPERLINK("http://www.clevertap.com", "www.clevertap.com")</f>
        <v>www.clevertap.com</v>
      </c>
      <c r="N451" s="12" t="str">
        <f>HYPERLINK("https://my.pitchbook.com?c=64704-52", "View Company Online")</f>
        <v>View Company Online</v>
      </c>
    </row>
    <row r="452" spans="1:14" x14ac:dyDescent="0.35">
      <c r="A452" s="5" t="s">
        <v>1068</v>
      </c>
      <c r="B452" s="5" t="s">
        <v>39</v>
      </c>
      <c r="C452" s="5" t="s">
        <v>40</v>
      </c>
      <c r="D452" s="31">
        <v>302.41000000000003</v>
      </c>
      <c r="E452" s="19">
        <v>46008</v>
      </c>
      <c r="F452" s="31">
        <v>470</v>
      </c>
      <c r="G452" s="19">
        <v>44327</v>
      </c>
      <c r="H452" s="43">
        <v>6</v>
      </c>
      <c r="I452" s="43">
        <v>92</v>
      </c>
      <c r="J452" s="5" t="s">
        <v>1069</v>
      </c>
      <c r="K452" s="5" t="s">
        <v>280</v>
      </c>
      <c r="L452" s="55">
        <v>2012</v>
      </c>
      <c r="M452" s="11" t="str">
        <f>HYPERLINK("http://www.mythic.ai", "www.mythic.ai")</f>
        <v>www.mythic.ai</v>
      </c>
      <c r="N452" s="11" t="str">
        <f>HYPERLINK("https://my.pitchbook.com?c=129650-23", "View Company Online")</f>
        <v>View Company Online</v>
      </c>
    </row>
    <row r="453" spans="1:14" x14ac:dyDescent="0.35">
      <c r="A453" s="6" t="s">
        <v>1070</v>
      </c>
      <c r="B453" s="6" t="s">
        <v>1192</v>
      </c>
      <c r="C453" s="6" t="s">
        <v>36</v>
      </c>
      <c r="D453" s="32">
        <v>302.08</v>
      </c>
      <c r="E453" s="20">
        <v>45881</v>
      </c>
      <c r="F453" s="32">
        <v>603.55999999999995</v>
      </c>
      <c r="G453" s="20">
        <v>45034</v>
      </c>
      <c r="H453" s="44">
        <v>13</v>
      </c>
      <c r="I453" s="44">
        <v>85</v>
      </c>
      <c r="J453" s="6" t="s">
        <v>1071</v>
      </c>
      <c r="K453" s="6" t="s">
        <v>90</v>
      </c>
      <c r="L453" s="56">
        <v>2019</v>
      </c>
      <c r="M453" s="12" t="str">
        <f>HYPERLINK("http://www.odeko.com", "www.odeko.com")</f>
        <v>www.odeko.com</v>
      </c>
      <c r="N453" s="12" t="str">
        <f>HYPERLINK("https://my.pitchbook.com?c=266288-14", "View Company Online")</f>
        <v>View Company Online</v>
      </c>
    </row>
    <row r="454" spans="1:14" x14ac:dyDescent="0.35">
      <c r="A454" s="5" t="s">
        <v>1072</v>
      </c>
      <c r="B454" s="6" t="s">
        <v>1192</v>
      </c>
      <c r="C454" s="5" t="s">
        <v>36</v>
      </c>
      <c r="D454" s="31">
        <v>300.45999999999998</v>
      </c>
      <c r="E454" s="19" t="s">
        <v>24</v>
      </c>
      <c r="F454" s="31" t="s">
        <v>24</v>
      </c>
      <c r="G454" s="19" t="s">
        <v>24</v>
      </c>
      <c r="H454" s="43" t="s">
        <v>24</v>
      </c>
      <c r="I454" s="43" t="s">
        <v>24</v>
      </c>
      <c r="J454" s="5" t="s">
        <v>1073</v>
      </c>
      <c r="K454" s="5" t="s">
        <v>871</v>
      </c>
      <c r="L454" s="55">
        <v>2024</v>
      </c>
      <c r="M454" s="5" t="s">
        <v>24</v>
      </c>
      <c r="N454" s="11" t="str">
        <f>HYPERLINK("https://my.pitchbook.com?c=571868-29", "View Company Online")</f>
        <v>View Company Online</v>
      </c>
    </row>
    <row r="455" spans="1:14" x14ac:dyDescent="0.35">
      <c r="A455" s="6" t="s">
        <v>1074</v>
      </c>
      <c r="B455" s="6" t="s">
        <v>1192</v>
      </c>
      <c r="C455" s="6" t="s">
        <v>44</v>
      </c>
      <c r="D455" s="32">
        <v>300.22000000000003</v>
      </c>
      <c r="E455" s="20">
        <v>45454</v>
      </c>
      <c r="F455" s="32">
        <v>2000</v>
      </c>
      <c r="G455" s="20">
        <v>44670</v>
      </c>
      <c r="H455" s="44">
        <v>20</v>
      </c>
      <c r="I455" s="44">
        <v>54</v>
      </c>
      <c r="J455" s="6" t="s">
        <v>1075</v>
      </c>
      <c r="K455" s="6" t="s">
        <v>90</v>
      </c>
      <c r="L455" s="56">
        <v>2017</v>
      </c>
      <c r="M455" s="12" t="str">
        <f>HYPERLINK("http://www.certik.com", "www.certik.com")</f>
        <v>www.certik.com</v>
      </c>
      <c r="N455" s="12" t="str">
        <f>HYPERLINK("https://my.pitchbook.com?c=232165-90", "View Company Online")</f>
        <v>View Company Online</v>
      </c>
    </row>
    <row r="456" spans="1:14" x14ac:dyDescent="0.35">
      <c r="A456" s="5" t="s">
        <v>1076</v>
      </c>
      <c r="B456" s="6" t="s">
        <v>1192</v>
      </c>
      <c r="C456" s="5" t="s">
        <v>48</v>
      </c>
      <c r="D456" s="31">
        <v>300.01</v>
      </c>
      <c r="E456" s="19">
        <v>45558</v>
      </c>
      <c r="F456" s="31" t="s">
        <v>24</v>
      </c>
      <c r="G456" s="19" t="s">
        <v>24</v>
      </c>
      <c r="H456" s="43" t="s">
        <v>24</v>
      </c>
      <c r="I456" s="43" t="s">
        <v>24</v>
      </c>
      <c r="J456" s="5" t="s">
        <v>1077</v>
      </c>
      <c r="K456" s="5" t="s">
        <v>90</v>
      </c>
      <c r="L456" s="55">
        <v>2024</v>
      </c>
      <c r="M456" s="11" t="str">
        <f>HYPERLINK("http://www.capwave.ai", "www.capwave.ai")</f>
        <v>www.capwave.ai</v>
      </c>
      <c r="N456" s="11" t="str">
        <f>HYPERLINK("https://my.pitchbook.com?c=625960-99", "View Company Online")</f>
        <v>View Company Online</v>
      </c>
    </row>
    <row r="457" spans="1:14" x14ac:dyDescent="0.35">
      <c r="A457" s="6" t="s">
        <v>1078</v>
      </c>
      <c r="B457" s="6" t="s">
        <v>1192</v>
      </c>
      <c r="C457" s="6" t="s">
        <v>36</v>
      </c>
      <c r="D457" s="32">
        <v>300</v>
      </c>
      <c r="E457" s="20">
        <v>45903</v>
      </c>
      <c r="F457" s="32">
        <v>1300</v>
      </c>
      <c r="G457" s="20">
        <v>45903</v>
      </c>
      <c r="H457" s="44" t="s">
        <v>24</v>
      </c>
      <c r="I457" s="44" t="s">
        <v>24</v>
      </c>
      <c r="J457" s="6" t="s">
        <v>1079</v>
      </c>
      <c r="K457" s="6" t="s">
        <v>18</v>
      </c>
      <c r="L457" s="56">
        <v>2025</v>
      </c>
      <c r="M457" s="12" t="str">
        <f>HYPERLINK("http://www.periodic.com", "www.periodic.com")</f>
        <v>www.periodic.com</v>
      </c>
      <c r="N457" s="12" t="str">
        <f>HYPERLINK("https://my.pitchbook.com?c=901835-56", "View Company Online")</f>
        <v>View Company Online</v>
      </c>
    </row>
    <row r="458" spans="1:14" x14ac:dyDescent="0.35">
      <c r="A458" s="5" t="s">
        <v>1080</v>
      </c>
      <c r="B458" s="5" t="s">
        <v>39</v>
      </c>
      <c r="C458" s="5" t="s">
        <v>70</v>
      </c>
      <c r="D458" s="31">
        <v>300</v>
      </c>
      <c r="E458" s="19">
        <v>46043</v>
      </c>
      <c r="F458" s="31">
        <v>1000</v>
      </c>
      <c r="G458" s="19">
        <v>46043</v>
      </c>
      <c r="H458" s="43">
        <v>56</v>
      </c>
      <c r="I458" s="43">
        <v>39</v>
      </c>
      <c r="J458" s="5" t="s">
        <v>1081</v>
      </c>
      <c r="K458" s="5" t="s">
        <v>62</v>
      </c>
      <c r="L458" s="55">
        <v>2025</v>
      </c>
      <c r="M458" s="11" t="str">
        <f>HYPERLINK("http://www.upscaleai.com", "www.upscaleai.com")</f>
        <v>www.upscaleai.com</v>
      </c>
      <c r="N458" s="11" t="str">
        <f>HYPERLINK("https://my.pitchbook.com?c=1002401-83", "View Company Online")</f>
        <v>View Company Online</v>
      </c>
    </row>
    <row r="459" spans="1:14" x14ac:dyDescent="0.35">
      <c r="A459" s="6" t="s">
        <v>1082</v>
      </c>
      <c r="B459" s="6" t="s">
        <v>1192</v>
      </c>
      <c r="C459" s="6" t="s">
        <v>159</v>
      </c>
      <c r="D459" s="32">
        <v>300</v>
      </c>
      <c r="E459" s="20">
        <v>44497</v>
      </c>
      <c r="F459" s="32" t="s">
        <v>24</v>
      </c>
      <c r="G459" s="20" t="s">
        <v>24</v>
      </c>
      <c r="H459" s="44" t="s">
        <v>24</v>
      </c>
      <c r="I459" s="44" t="s">
        <v>24</v>
      </c>
      <c r="J459" s="6" t="s">
        <v>1083</v>
      </c>
      <c r="K459" s="6" t="s">
        <v>438</v>
      </c>
      <c r="L459" s="56">
        <v>2014</v>
      </c>
      <c r="M459" s="12" t="str">
        <f>HYPERLINK("http://www.vyripharmbio.com", "www.vyripharmbio.com")</f>
        <v>www.vyripharmbio.com</v>
      </c>
      <c r="N459" s="12" t="str">
        <f>HYPERLINK("https://my.pitchbook.com?c=164277-64", "View Company Online")</f>
        <v>View Company Online</v>
      </c>
    </row>
    <row r="460" spans="1:14" x14ac:dyDescent="0.35">
      <c r="A460" s="5" t="s">
        <v>1084</v>
      </c>
      <c r="B460" s="6" t="s">
        <v>1192</v>
      </c>
      <c r="C460" s="5" t="s">
        <v>48</v>
      </c>
      <c r="D460" s="31">
        <v>299.95999999999998</v>
      </c>
      <c r="E460" s="19">
        <v>45566</v>
      </c>
      <c r="F460" s="31" t="s">
        <v>24</v>
      </c>
      <c r="G460" s="19" t="s">
        <v>24</v>
      </c>
      <c r="H460" s="43" t="s">
        <v>24</v>
      </c>
      <c r="I460" s="43" t="s">
        <v>24</v>
      </c>
      <c r="J460" s="5" t="s">
        <v>1085</v>
      </c>
      <c r="K460" s="5" t="s">
        <v>1086</v>
      </c>
      <c r="L460" s="55">
        <v>2024</v>
      </c>
      <c r="M460" s="11" t="str">
        <f>HYPERLINK("http://www.vorpenx.com", "www.vorpenx.com")</f>
        <v>www.vorpenx.com</v>
      </c>
      <c r="N460" s="11" t="str">
        <f>HYPERLINK("https://my.pitchbook.com?c=753044-50", "View Company Online")</f>
        <v>View Company Online</v>
      </c>
    </row>
    <row r="461" spans="1:14" x14ac:dyDescent="0.35">
      <c r="A461" s="6" t="s">
        <v>1087</v>
      </c>
      <c r="B461" s="6" t="s">
        <v>1192</v>
      </c>
      <c r="C461" s="6" t="s">
        <v>159</v>
      </c>
      <c r="D461" s="32">
        <v>299.45</v>
      </c>
      <c r="E461" s="20">
        <v>45503</v>
      </c>
      <c r="F461" s="32">
        <v>1200</v>
      </c>
      <c r="G461" s="20">
        <v>45503</v>
      </c>
      <c r="H461" s="44">
        <v>62</v>
      </c>
      <c r="I461" s="44">
        <v>27</v>
      </c>
      <c r="J461" s="6" t="s">
        <v>1088</v>
      </c>
      <c r="K461" s="6" t="s">
        <v>68</v>
      </c>
      <c r="L461" s="56">
        <v>2015</v>
      </c>
      <c r="M461" s="12" t="str">
        <f>HYPERLINK("http://www.flo.health", "www.flo.health")</f>
        <v>www.flo.health</v>
      </c>
      <c r="N461" s="12" t="str">
        <f>HYPERLINK("https://my.pitchbook.com?c=168995-62", "View Company Online")</f>
        <v>View Company Online</v>
      </c>
    </row>
    <row r="462" spans="1:14" x14ac:dyDescent="0.35">
      <c r="A462" s="5" t="s">
        <v>1089</v>
      </c>
      <c r="B462" s="5" t="s">
        <v>15</v>
      </c>
      <c r="C462" s="5" t="s">
        <v>22</v>
      </c>
      <c r="D462" s="31">
        <v>299.2</v>
      </c>
      <c r="E462" s="19">
        <v>44552</v>
      </c>
      <c r="F462" s="31">
        <v>1650</v>
      </c>
      <c r="G462" s="19">
        <v>44552</v>
      </c>
      <c r="H462" s="43">
        <v>10</v>
      </c>
      <c r="I462" s="43">
        <v>78</v>
      </c>
      <c r="J462" s="5" t="s">
        <v>1090</v>
      </c>
      <c r="K462" s="5" t="s">
        <v>90</v>
      </c>
      <c r="L462" s="55">
        <v>2014</v>
      </c>
      <c r="M462" s="11" t="str">
        <f>HYPERLINK("http://www.hyperscience.ai", "www.hyperscience.ai")</f>
        <v>www.hyperscience.ai</v>
      </c>
      <c r="N462" s="11" t="str">
        <f>HYPERLINK("https://my.pitchbook.com?c=121028-14", "View Company Online")</f>
        <v>View Company Online</v>
      </c>
    </row>
    <row r="463" spans="1:14" x14ac:dyDescent="0.35">
      <c r="A463" s="6" t="s">
        <v>1091</v>
      </c>
      <c r="B463" s="6" t="s">
        <v>1192</v>
      </c>
      <c r="C463" s="6" t="s">
        <v>159</v>
      </c>
      <c r="D463" s="32">
        <v>298.66000000000003</v>
      </c>
      <c r="E463" s="20">
        <v>45478</v>
      </c>
      <c r="F463" s="32">
        <v>297.29000000000002</v>
      </c>
      <c r="G463" s="20">
        <v>43186</v>
      </c>
      <c r="H463" s="44" t="s">
        <v>24</v>
      </c>
      <c r="I463" s="44" t="s">
        <v>24</v>
      </c>
      <c r="J463" s="6" t="s">
        <v>1092</v>
      </c>
      <c r="K463" s="6" t="s">
        <v>1093</v>
      </c>
      <c r="L463" s="56">
        <v>2014</v>
      </c>
      <c r="M463" s="12" t="str">
        <f>HYPERLINK("http://www.singlera.com.cn", "www.singlera.com.cn")</f>
        <v>www.singlera.com.cn</v>
      </c>
      <c r="N463" s="12" t="str">
        <f>HYPERLINK("https://my.pitchbook.com?c=164255-05", "View Company Online")</f>
        <v>View Company Online</v>
      </c>
    </row>
    <row r="464" spans="1:14" x14ac:dyDescent="0.35">
      <c r="A464" s="5" t="s">
        <v>1094</v>
      </c>
      <c r="B464" s="6" t="s">
        <v>1192</v>
      </c>
      <c r="C464" s="5" t="s">
        <v>48</v>
      </c>
      <c r="D464" s="31">
        <v>298.39</v>
      </c>
      <c r="E464" s="19">
        <v>45477</v>
      </c>
      <c r="F464" s="31">
        <v>105</v>
      </c>
      <c r="G464" s="19">
        <v>41030</v>
      </c>
      <c r="H464" s="43">
        <v>72</v>
      </c>
      <c r="I464" s="43">
        <v>4</v>
      </c>
      <c r="J464" s="5" t="s">
        <v>1095</v>
      </c>
      <c r="K464" s="5" t="s">
        <v>135</v>
      </c>
      <c r="L464" s="55">
        <v>2003</v>
      </c>
      <c r="M464" s="11" t="str">
        <f>HYPERLINK("http://www.gaincredit.com", "www.gaincredit.com")</f>
        <v>www.gaincredit.com</v>
      </c>
      <c r="N464" s="11" t="str">
        <f>HYPERLINK("https://my.pitchbook.com?c=53473-33", "View Company Online")</f>
        <v>View Company Online</v>
      </c>
    </row>
    <row r="465" spans="1:14" x14ac:dyDescent="0.35">
      <c r="A465" s="6" t="s">
        <v>1096</v>
      </c>
      <c r="B465" s="6" t="s">
        <v>15</v>
      </c>
      <c r="C465" s="6" t="s">
        <v>501</v>
      </c>
      <c r="D465" s="32">
        <v>297.37</v>
      </c>
      <c r="E465" s="20">
        <v>44515</v>
      </c>
      <c r="F465" s="32">
        <v>1050</v>
      </c>
      <c r="G465" s="20">
        <v>44515</v>
      </c>
      <c r="H465" s="44">
        <v>68</v>
      </c>
      <c r="I465" s="44">
        <v>8</v>
      </c>
      <c r="J465" s="6" t="s">
        <v>1097</v>
      </c>
      <c r="K465" s="6" t="s">
        <v>18</v>
      </c>
      <c r="L465" s="56">
        <v>2009</v>
      </c>
      <c r="M465" s="12" t="str">
        <f>HYPERLINK("http://www.mixpanel.com", "www.mixpanel.com")</f>
        <v>www.mixpanel.com</v>
      </c>
      <c r="N465" s="12" t="str">
        <f>HYPERLINK("https://my.pitchbook.com?c=52245-73", "View Company Online")</f>
        <v>View Company Online</v>
      </c>
    </row>
    <row r="466" spans="1:14" x14ac:dyDescent="0.35">
      <c r="A466" s="5" t="s">
        <v>1098</v>
      </c>
      <c r="B466" s="6" t="s">
        <v>1192</v>
      </c>
      <c r="C466" s="5" t="s">
        <v>48</v>
      </c>
      <c r="D466" s="31">
        <v>297.35000000000002</v>
      </c>
      <c r="E466" s="19">
        <v>45139</v>
      </c>
      <c r="F466" s="31">
        <v>845</v>
      </c>
      <c r="G466" s="19">
        <v>44887</v>
      </c>
      <c r="H466" s="43">
        <v>60</v>
      </c>
      <c r="I466" s="43">
        <v>26</v>
      </c>
      <c r="J466" s="5" t="s">
        <v>1099</v>
      </c>
      <c r="K466" s="5" t="s">
        <v>352</v>
      </c>
      <c r="L466" s="55">
        <v>2016</v>
      </c>
      <c r="M466" s="11" t="str">
        <f>HYPERLINK("http://www.novo.co", "www.novo.co")</f>
        <v>www.novo.co</v>
      </c>
      <c r="N466" s="11" t="str">
        <f>HYPERLINK("https://my.pitchbook.com?c=184747-15", "View Company Online")</f>
        <v>View Company Online</v>
      </c>
    </row>
    <row r="467" spans="1:14" x14ac:dyDescent="0.35">
      <c r="A467" s="6" t="s">
        <v>1100</v>
      </c>
      <c r="B467" s="6" t="s">
        <v>15</v>
      </c>
      <c r="C467" s="6" t="s">
        <v>16</v>
      </c>
      <c r="D467" s="32">
        <v>296.60000000000002</v>
      </c>
      <c r="E467" s="20">
        <v>45639</v>
      </c>
      <c r="F467" s="32">
        <v>316.60000000000002</v>
      </c>
      <c r="G467" s="20">
        <v>45266</v>
      </c>
      <c r="H467" s="44">
        <v>82</v>
      </c>
      <c r="I467" s="44">
        <v>2</v>
      </c>
      <c r="J467" s="6" t="s">
        <v>1101</v>
      </c>
      <c r="K467" s="6" t="s">
        <v>549</v>
      </c>
      <c r="L467" s="56">
        <v>2023</v>
      </c>
      <c r="M467" s="12" t="str">
        <f>HYPERLINK("http://www.liquid.ai", "www.liquid.ai")</f>
        <v>www.liquid.ai</v>
      </c>
      <c r="N467" s="12" t="str">
        <f>HYPERLINK("https://my.pitchbook.com?c=541205-38", "View Company Online")</f>
        <v>View Company Online</v>
      </c>
    </row>
    <row r="468" spans="1:14" x14ac:dyDescent="0.35">
      <c r="A468" s="5" t="s">
        <v>1102</v>
      </c>
      <c r="B468" s="5" t="s">
        <v>15</v>
      </c>
      <c r="C468" s="5" t="s">
        <v>16</v>
      </c>
      <c r="D468" s="31">
        <v>296.60000000000002</v>
      </c>
      <c r="E468" s="19">
        <v>46079</v>
      </c>
      <c r="F468" s="31" t="s">
        <v>24</v>
      </c>
      <c r="G468" s="19" t="s">
        <v>24</v>
      </c>
      <c r="H468" s="43" t="s">
        <v>24</v>
      </c>
      <c r="I468" s="43" t="s">
        <v>24</v>
      </c>
      <c r="J468" s="5" t="s">
        <v>1103</v>
      </c>
      <c r="K468" s="5" t="s">
        <v>244</v>
      </c>
      <c r="L468" s="55">
        <v>2023</v>
      </c>
      <c r="M468" s="11" t="str">
        <f>HYPERLINK("http://www.x2robot.com", "www.x2robot.com")</f>
        <v>www.x2robot.com</v>
      </c>
      <c r="N468" s="11" t="str">
        <f>HYPERLINK("https://my.pitchbook.com?c=592534-54", "View Company Online")</f>
        <v>View Company Online</v>
      </c>
    </row>
    <row r="469" spans="1:14" x14ac:dyDescent="0.35">
      <c r="A469" s="6" t="s">
        <v>1104</v>
      </c>
      <c r="B469" s="6" t="s">
        <v>15</v>
      </c>
      <c r="C469" s="6" t="s">
        <v>156</v>
      </c>
      <c r="D469" s="32">
        <v>296.31</v>
      </c>
      <c r="E469" s="20">
        <v>46049</v>
      </c>
      <c r="F469" s="32">
        <v>800</v>
      </c>
      <c r="G469" s="20">
        <v>45268</v>
      </c>
      <c r="H469" s="44">
        <v>61</v>
      </c>
      <c r="I469" s="44">
        <v>34</v>
      </c>
      <c r="J469" s="6" t="s">
        <v>1105</v>
      </c>
      <c r="K469" s="6" t="s">
        <v>1106</v>
      </c>
      <c r="L469" s="56">
        <v>2013</v>
      </c>
      <c r="M469" s="12" t="str">
        <f>HYPERLINK("http://www.kore.ai", "www.kore.ai")</f>
        <v>www.kore.ai</v>
      </c>
      <c r="N469" s="12" t="str">
        <f>HYPERLINK("https://my.pitchbook.com?c=170569-54", "View Company Online")</f>
        <v>View Company Online</v>
      </c>
    </row>
    <row r="470" spans="1:14" x14ac:dyDescent="0.35">
      <c r="A470" s="5" t="s">
        <v>1107</v>
      </c>
      <c r="B470" s="6" t="s">
        <v>1192</v>
      </c>
      <c r="C470" s="5" t="s">
        <v>44</v>
      </c>
      <c r="D470" s="31">
        <v>295.72000000000003</v>
      </c>
      <c r="E470" s="19">
        <v>45596</v>
      </c>
      <c r="F470" s="31">
        <v>284.42</v>
      </c>
      <c r="G470" s="19">
        <v>44250</v>
      </c>
      <c r="H470" s="43">
        <v>38</v>
      </c>
      <c r="I470" s="43">
        <v>56</v>
      </c>
      <c r="J470" s="5" t="s">
        <v>1108</v>
      </c>
      <c r="K470" s="5" t="s">
        <v>68</v>
      </c>
      <c r="L470" s="55">
        <v>2014</v>
      </c>
      <c r="M470" s="11" t="str">
        <f>HYPERLINK("http://www.behavox.com", "www.behavox.com")</f>
        <v>www.behavox.com</v>
      </c>
      <c r="N470" s="11" t="str">
        <f>HYPERLINK("https://my.pitchbook.com?c=103922-29", "View Company Online")</f>
        <v>View Company Online</v>
      </c>
    </row>
    <row r="471" spans="1:14" x14ac:dyDescent="0.35">
      <c r="A471" s="6" t="s">
        <v>1109</v>
      </c>
      <c r="B471" s="6" t="s">
        <v>15</v>
      </c>
      <c r="C471" s="6" t="s">
        <v>16</v>
      </c>
      <c r="D471" s="32">
        <v>295</v>
      </c>
      <c r="E471" s="20">
        <v>45986</v>
      </c>
      <c r="F471" s="32">
        <v>1450</v>
      </c>
      <c r="G471" s="20">
        <v>45986</v>
      </c>
      <c r="H471" s="44">
        <v>37</v>
      </c>
      <c r="I471" s="44">
        <v>55</v>
      </c>
      <c r="J471" s="6" t="s">
        <v>1110</v>
      </c>
      <c r="K471" s="6" t="s">
        <v>83</v>
      </c>
      <c r="L471" s="56">
        <v>2023</v>
      </c>
      <c r="M471" s="12" t="str">
        <f>HYPERLINK("http://www.harmonic.fun", "www.harmonic.fun")</f>
        <v>www.harmonic.fun</v>
      </c>
      <c r="N471" s="12" t="str">
        <f>HYPERLINK("https://my.pitchbook.com?c=608847-76", "View Company Online")</f>
        <v>View Company Online</v>
      </c>
    </row>
    <row r="472" spans="1:14" x14ac:dyDescent="0.35">
      <c r="A472" s="5" t="s">
        <v>1111</v>
      </c>
      <c r="B472" s="6" t="s">
        <v>1192</v>
      </c>
      <c r="C472" s="5" t="s">
        <v>159</v>
      </c>
      <c r="D472" s="31">
        <v>295</v>
      </c>
      <c r="E472" s="19">
        <v>44496</v>
      </c>
      <c r="F472" s="31">
        <v>1100</v>
      </c>
      <c r="G472" s="19">
        <v>44496</v>
      </c>
      <c r="H472" s="43">
        <v>23</v>
      </c>
      <c r="I472" s="43">
        <v>61</v>
      </c>
      <c r="J472" s="5" t="s">
        <v>1112</v>
      </c>
      <c r="K472" s="5" t="s">
        <v>90</v>
      </c>
      <c r="L472" s="55">
        <v>2018</v>
      </c>
      <c r="M472" s="11" t="str">
        <f>HYPERLINK("http://www.immunai.com", "www.immunai.com")</f>
        <v>www.immunai.com</v>
      </c>
      <c r="N472" s="11" t="str">
        <f>HYPERLINK("https://my.pitchbook.com?c=399465-10", "View Company Online")</f>
        <v>View Company Online</v>
      </c>
    </row>
    <row r="473" spans="1:14" x14ac:dyDescent="0.35">
      <c r="A473" s="6" t="s">
        <v>1113</v>
      </c>
      <c r="B473" s="6" t="s">
        <v>1192</v>
      </c>
      <c r="C473" s="6" t="s">
        <v>31</v>
      </c>
      <c r="D473" s="32">
        <v>294.39999999999998</v>
      </c>
      <c r="E473" s="20">
        <v>44550</v>
      </c>
      <c r="F473" s="32">
        <v>3500</v>
      </c>
      <c r="G473" s="20">
        <v>44550</v>
      </c>
      <c r="H473" s="44">
        <v>9</v>
      </c>
      <c r="I473" s="44">
        <v>65</v>
      </c>
      <c r="J473" s="6" t="s">
        <v>1114</v>
      </c>
      <c r="K473" s="6" t="s">
        <v>425</v>
      </c>
      <c r="L473" s="56">
        <v>2016</v>
      </c>
      <c r="M473" s="12" t="str">
        <f>HYPERLINK("http://www.recroom.com", "www.recroom.com")</f>
        <v>www.recroom.com</v>
      </c>
      <c r="N473" s="12" t="str">
        <f>HYPERLINK("https://my.pitchbook.com?c=156041-29", "View Company Online")</f>
        <v>View Company Online</v>
      </c>
    </row>
    <row r="474" spans="1:14" x14ac:dyDescent="0.35">
      <c r="A474" s="5" t="s">
        <v>1115</v>
      </c>
      <c r="B474" s="6" t="s">
        <v>1192</v>
      </c>
      <c r="C474" s="5" t="s">
        <v>159</v>
      </c>
      <c r="D474" s="31">
        <v>292.7</v>
      </c>
      <c r="E474" s="19">
        <v>45877</v>
      </c>
      <c r="F474" s="31">
        <v>280</v>
      </c>
      <c r="G474" s="19">
        <v>45877</v>
      </c>
      <c r="H474" s="43">
        <v>31</v>
      </c>
      <c r="I474" s="43">
        <v>31</v>
      </c>
      <c r="J474" s="5" t="s">
        <v>1116</v>
      </c>
      <c r="K474" s="5" t="s">
        <v>758</v>
      </c>
      <c r="L474" s="55">
        <v>2017</v>
      </c>
      <c r="M474" s="11" t="str">
        <f>HYPERLINK("http://www.restor3d.com", "www.restor3d.com")</f>
        <v>www.restor3d.com</v>
      </c>
      <c r="N474" s="11" t="str">
        <f>HYPERLINK("https://my.pitchbook.com?c=223425-10", "View Company Online")</f>
        <v>View Company Online</v>
      </c>
    </row>
    <row r="475" spans="1:14" x14ac:dyDescent="0.35">
      <c r="A475" s="6" t="s">
        <v>1117</v>
      </c>
      <c r="B475" s="6" t="s">
        <v>15</v>
      </c>
      <c r="C475" s="6" t="s">
        <v>16</v>
      </c>
      <c r="D475" s="32">
        <v>291.92</v>
      </c>
      <c r="E475" s="20">
        <v>45674</v>
      </c>
      <c r="F475" s="32">
        <v>1300</v>
      </c>
      <c r="G475" s="20">
        <v>45674</v>
      </c>
      <c r="H475" s="44">
        <v>43</v>
      </c>
      <c r="I475" s="44">
        <v>52</v>
      </c>
      <c r="J475" s="6" t="s">
        <v>1118</v>
      </c>
      <c r="K475" s="6" t="s">
        <v>18</v>
      </c>
      <c r="L475" s="56">
        <v>2015</v>
      </c>
      <c r="M475" s="12" t="str">
        <f>HYPERLINK("http://www.instabase.com", "www.instabase.com")</f>
        <v>www.instabase.com</v>
      </c>
      <c r="N475" s="12" t="str">
        <f>HYPERLINK("https://my.pitchbook.com?c=113191-12", "View Company Online")</f>
        <v>View Company Online</v>
      </c>
    </row>
    <row r="476" spans="1:14" x14ac:dyDescent="0.35">
      <c r="A476" s="5" t="s">
        <v>1119</v>
      </c>
      <c r="B476" s="5" t="s">
        <v>39</v>
      </c>
      <c r="C476" s="5" t="s">
        <v>40</v>
      </c>
      <c r="D476" s="31">
        <v>290</v>
      </c>
      <c r="E476" s="19">
        <v>45658</v>
      </c>
      <c r="F476" s="31">
        <v>600</v>
      </c>
      <c r="G476" s="19">
        <v>45615</v>
      </c>
      <c r="H476" s="43">
        <v>55</v>
      </c>
      <c r="I476" s="43">
        <v>43</v>
      </c>
      <c r="J476" s="5" t="s">
        <v>1120</v>
      </c>
      <c r="K476" s="5" t="s">
        <v>29</v>
      </c>
      <c r="L476" s="55">
        <v>2020</v>
      </c>
      <c r="M476" s="11" t="str">
        <f>HYPERLINK("http://www.enfabrica.net", "www.enfabrica.net")</f>
        <v>www.enfabrica.net</v>
      </c>
      <c r="N476" s="11" t="str">
        <f>HYPERLINK("https://my.pitchbook.com?c=465827-59", "View Company Online")</f>
        <v>View Company Online</v>
      </c>
    </row>
    <row r="477" spans="1:14" x14ac:dyDescent="0.35">
      <c r="A477" s="6" t="s">
        <v>1121</v>
      </c>
      <c r="B477" s="6" t="s">
        <v>1192</v>
      </c>
      <c r="C477" s="6" t="s">
        <v>48</v>
      </c>
      <c r="D477" s="32">
        <v>290</v>
      </c>
      <c r="E477" s="20" t="s">
        <v>24</v>
      </c>
      <c r="F477" s="32" t="s">
        <v>24</v>
      </c>
      <c r="G477" s="20" t="s">
        <v>24</v>
      </c>
      <c r="H477" s="44">
        <v>51</v>
      </c>
      <c r="I477" s="44">
        <v>14</v>
      </c>
      <c r="J477" s="6" t="s">
        <v>1122</v>
      </c>
      <c r="K477" s="6" t="s">
        <v>1123</v>
      </c>
      <c r="L477" s="56">
        <v>2007</v>
      </c>
      <c r="M477" s="12" t="str">
        <f>HYPERLINK("http://www.paycargo.com", "www.paycargo.com")</f>
        <v>www.paycargo.com</v>
      </c>
      <c r="N477" s="12" t="str">
        <f>HYPERLINK("https://my.pitchbook.com?c=344574-01", "View Company Online")</f>
        <v>View Company Online</v>
      </c>
    </row>
    <row r="478" spans="1:14" x14ac:dyDescent="0.35">
      <c r="A478" s="5" t="s">
        <v>1124</v>
      </c>
      <c r="B478" s="6" t="s">
        <v>1192</v>
      </c>
      <c r="C478" s="5" t="s">
        <v>159</v>
      </c>
      <c r="D478" s="31">
        <v>290</v>
      </c>
      <c r="E478" s="19">
        <v>45845</v>
      </c>
      <c r="F478" s="31">
        <v>700</v>
      </c>
      <c r="G478" s="19">
        <v>45845</v>
      </c>
      <c r="H478" s="43">
        <v>39</v>
      </c>
      <c r="I478" s="43">
        <v>58</v>
      </c>
      <c r="J478" s="5" t="s">
        <v>1125</v>
      </c>
      <c r="K478" s="5" t="s">
        <v>50</v>
      </c>
      <c r="L478" s="55">
        <v>2020</v>
      </c>
      <c r="M478" s="11" t="str">
        <f>HYPERLINK("http://www.soleytherapeutics.com", "www.soleytherapeutics.com")</f>
        <v>www.soleytherapeutics.com</v>
      </c>
      <c r="N478" s="11" t="str">
        <f>HYPERLINK("https://my.pitchbook.com?c=458118-64", "View Company Online")</f>
        <v>View Company Online</v>
      </c>
    </row>
    <row r="479" spans="1:14" x14ac:dyDescent="0.35">
      <c r="A479" s="6" t="s">
        <v>1126</v>
      </c>
      <c r="B479" s="6" t="s">
        <v>1192</v>
      </c>
      <c r="C479" s="6" t="s">
        <v>159</v>
      </c>
      <c r="D479" s="32">
        <v>290</v>
      </c>
      <c r="E479" s="20">
        <v>45846</v>
      </c>
      <c r="F479" s="32">
        <v>1350</v>
      </c>
      <c r="G479" s="20">
        <v>45846</v>
      </c>
      <c r="H479" s="44">
        <v>48</v>
      </c>
      <c r="I479" s="44">
        <v>11</v>
      </c>
      <c r="J479" s="6" t="s">
        <v>1127</v>
      </c>
      <c r="K479" s="6" t="s">
        <v>1128</v>
      </c>
      <c r="L479" s="56">
        <v>2021</v>
      </c>
      <c r="M479" s="12" t="str">
        <f>HYPERLINK("http://www.xpanceo.com", "www.xpanceo.com")</f>
        <v>www.xpanceo.com</v>
      </c>
      <c r="N479" s="12" t="str">
        <f>HYPERLINK("https://my.pitchbook.com?c=533379-79", "View Company Online")</f>
        <v>View Company Online</v>
      </c>
    </row>
    <row r="480" spans="1:14" x14ac:dyDescent="0.35">
      <c r="A480" s="5" t="s">
        <v>1129</v>
      </c>
      <c r="B480" s="6" t="s">
        <v>1192</v>
      </c>
      <c r="C480" s="5" t="s">
        <v>159</v>
      </c>
      <c r="D480" s="31">
        <v>289.19</v>
      </c>
      <c r="E480" s="19">
        <v>45839</v>
      </c>
      <c r="F480" s="31">
        <v>1200</v>
      </c>
      <c r="G480" s="19">
        <v>44658</v>
      </c>
      <c r="H480" s="43">
        <v>40</v>
      </c>
      <c r="I480" s="43">
        <v>39</v>
      </c>
      <c r="J480" s="5" t="s">
        <v>1130</v>
      </c>
      <c r="K480" s="5" t="s">
        <v>18</v>
      </c>
      <c r="L480" s="55">
        <v>2016</v>
      </c>
      <c r="M480" s="11" t="str">
        <f>HYPERLINK("http://www.viz.ai", "www.viz.ai")</f>
        <v>www.viz.ai</v>
      </c>
      <c r="N480" s="11" t="str">
        <f>HYPERLINK("https://my.pitchbook.com?c=163373-77", "View Company Online")</f>
        <v>View Company Online</v>
      </c>
    </row>
    <row r="481" spans="1:14" x14ac:dyDescent="0.35">
      <c r="A481" s="6" t="s">
        <v>1131</v>
      </c>
      <c r="B481" s="6" t="s">
        <v>15</v>
      </c>
      <c r="C481" s="6" t="s">
        <v>22</v>
      </c>
      <c r="D481" s="32">
        <v>288.93</v>
      </c>
      <c r="E481" s="20">
        <v>45610</v>
      </c>
      <c r="F481" s="32">
        <v>803.53</v>
      </c>
      <c r="G481" s="20">
        <v>45610</v>
      </c>
      <c r="H481" s="44">
        <v>4</v>
      </c>
      <c r="I481" s="44">
        <v>20</v>
      </c>
      <c r="J481" s="6" t="s">
        <v>1132</v>
      </c>
      <c r="K481" s="6" t="s">
        <v>1133</v>
      </c>
      <c r="L481" s="56">
        <v>2019</v>
      </c>
      <c r="M481" s="12" t="str">
        <f>HYPERLINK("http://www.chapsvision.com", "www.chapsvision.com")</f>
        <v>www.chapsvision.com</v>
      </c>
      <c r="N481" s="12" t="str">
        <f>HYPERLINK("https://my.pitchbook.com?c=277723-63", "View Company Online")</f>
        <v>View Company Online</v>
      </c>
    </row>
    <row r="482" spans="1:14" x14ac:dyDescent="0.35">
      <c r="A482" s="5" t="s">
        <v>1134</v>
      </c>
      <c r="B482" s="6" t="s">
        <v>1192</v>
      </c>
      <c r="C482" s="5" t="s">
        <v>44</v>
      </c>
      <c r="D482" s="31">
        <v>288.79000000000002</v>
      </c>
      <c r="E482" s="19">
        <v>45695</v>
      </c>
      <c r="F482" s="31">
        <v>850</v>
      </c>
      <c r="G482" s="19">
        <v>45695</v>
      </c>
      <c r="H482" s="43">
        <v>84</v>
      </c>
      <c r="I482" s="43">
        <v>14</v>
      </c>
      <c r="J482" s="5" t="s">
        <v>1135</v>
      </c>
      <c r="K482" s="5" t="s">
        <v>352</v>
      </c>
      <c r="L482" s="55">
        <v>2018</v>
      </c>
      <c r="M482" s="11" t="str">
        <f>HYPERLINK("http://www.iru.com", "www.iru.com")</f>
        <v>www.iru.com</v>
      </c>
      <c r="N482" s="11" t="str">
        <f>HYPERLINK("https://my.pitchbook.com?c=234581-59", "View Company Online")</f>
        <v>View Company Online</v>
      </c>
    </row>
    <row r="483" spans="1:14" x14ac:dyDescent="0.35">
      <c r="A483" s="6" t="s">
        <v>1136</v>
      </c>
      <c r="B483" s="6" t="s">
        <v>26</v>
      </c>
      <c r="C483" s="6" t="s">
        <v>27</v>
      </c>
      <c r="D483" s="32">
        <v>286.89</v>
      </c>
      <c r="E483" s="20">
        <v>46083</v>
      </c>
      <c r="F483" s="32" t="s">
        <v>24</v>
      </c>
      <c r="G483" s="20" t="s">
        <v>24</v>
      </c>
      <c r="H483" s="44" t="s">
        <v>24</v>
      </c>
      <c r="I483" s="44" t="s">
        <v>24</v>
      </c>
      <c r="J483" s="6" t="s">
        <v>1137</v>
      </c>
      <c r="K483" s="6" t="s">
        <v>1138</v>
      </c>
      <c r="L483" s="56">
        <v>2021</v>
      </c>
      <c r="M483" s="12" t="str">
        <f>HYPERLINK("http://www.kargobot.ai", "www.kargobot.ai")</f>
        <v>www.kargobot.ai</v>
      </c>
      <c r="N483" s="12" t="str">
        <f>HYPERLINK("https://my.pitchbook.com?c=538120-18", "View Company Online")</f>
        <v>View Company Online</v>
      </c>
    </row>
    <row r="484" spans="1:14" x14ac:dyDescent="0.35">
      <c r="A484" s="5" t="s">
        <v>1139</v>
      </c>
      <c r="B484" s="5" t="s">
        <v>15</v>
      </c>
      <c r="C484" s="5" t="s">
        <v>501</v>
      </c>
      <c r="D484" s="31">
        <v>284</v>
      </c>
      <c r="E484" s="19">
        <v>46093</v>
      </c>
      <c r="F484" s="31">
        <v>2000</v>
      </c>
      <c r="G484" s="19">
        <v>46093</v>
      </c>
      <c r="H484" s="43">
        <v>34</v>
      </c>
      <c r="I484" s="43">
        <v>60</v>
      </c>
      <c r="J484" s="5" t="s">
        <v>1140</v>
      </c>
      <c r="K484" s="5" t="s">
        <v>1029</v>
      </c>
      <c r="L484" s="55">
        <v>2025</v>
      </c>
      <c r="M484" s="11" t="str">
        <f>HYPERLINK("http://www.wonderful.ai", "www.wonderful.ai")</f>
        <v>www.wonderful.ai</v>
      </c>
      <c r="N484" s="11" t="str">
        <f>HYPERLINK("https://my.pitchbook.com?c=893945-17", "View Company Online")</f>
        <v>View Company Online</v>
      </c>
    </row>
    <row r="485" spans="1:14" x14ac:dyDescent="0.35">
      <c r="A485" s="6" t="s">
        <v>1141</v>
      </c>
      <c r="B485" s="6" t="s">
        <v>1192</v>
      </c>
      <c r="C485" s="6" t="s">
        <v>44</v>
      </c>
      <c r="D485" s="32">
        <v>283.70999999999998</v>
      </c>
      <c r="E485" s="20">
        <v>45566</v>
      </c>
      <c r="F485" s="32" t="s">
        <v>24</v>
      </c>
      <c r="G485" s="20" t="s">
        <v>24</v>
      </c>
      <c r="H485" s="44" t="s">
        <v>24</v>
      </c>
      <c r="I485" s="44" t="s">
        <v>24</v>
      </c>
      <c r="J485" s="6" t="s">
        <v>1142</v>
      </c>
      <c r="K485" s="6" t="s">
        <v>871</v>
      </c>
      <c r="L485" s="56">
        <v>2015</v>
      </c>
      <c r="M485" s="12" t="str">
        <f>HYPERLINK("http://www.surromind.ai", "www.surromind.ai")</f>
        <v>www.surromind.ai</v>
      </c>
      <c r="N485" s="12" t="str">
        <f>HYPERLINK("https://my.pitchbook.com?c=571807-09", "View Company Online")</f>
        <v>View Company Online</v>
      </c>
    </row>
    <row r="486" spans="1:14" x14ac:dyDescent="0.35">
      <c r="A486" s="5" t="s">
        <v>1143</v>
      </c>
      <c r="B486" s="6" t="s">
        <v>1192</v>
      </c>
      <c r="C486" s="5" t="s">
        <v>31</v>
      </c>
      <c r="D486" s="31">
        <v>283.27999999999997</v>
      </c>
      <c r="E486" s="19" t="s">
        <v>24</v>
      </c>
      <c r="F486" s="31">
        <v>140</v>
      </c>
      <c r="G486" s="19">
        <v>45191</v>
      </c>
      <c r="H486" s="43">
        <v>21</v>
      </c>
      <c r="I486" s="43">
        <v>73</v>
      </c>
      <c r="J486" s="5" t="s">
        <v>1144</v>
      </c>
      <c r="K486" s="5" t="s">
        <v>1145</v>
      </c>
      <c r="L486" s="55">
        <v>2015</v>
      </c>
      <c r="M486" s="11" t="str">
        <f>HYPERLINK("http://www.leverageedu.com", "www.leverageedu.com")</f>
        <v>www.leverageedu.com</v>
      </c>
      <c r="N486" s="11" t="str">
        <f>HYPERLINK("https://my.pitchbook.com?c=184238-11", "View Company Online")</f>
        <v>View Company Online</v>
      </c>
    </row>
    <row r="487" spans="1:14" x14ac:dyDescent="0.35">
      <c r="A487" s="6" t="s">
        <v>1146</v>
      </c>
      <c r="B487" s="6" t="s">
        <v>15</v>
      </c>
      <c r="C487" s="6" t="s">
        <v>22</v>
      </c>
      <c r="D487" s="32">
        <v>283.01</v>
      </c>
      <c r="E487" s="20">
        <v>45994</v>
      </c>
      <c r="F487" s="32">
        <v>26.95</v>
      </c>
      <c r="G487" s="20">
        <v>44378</v>
      </c>
      <c r="H487" s="44">
        <v>39</v>
      </c>
      <c r="I487" s="44">
        <v>45</v>
      </c>
      <c r="J487" s="6" t="s">
        <v>1147</v>
      </c>
      <c r="K487" s="6" t="s">
        <v>68</v>
      </c>
      <c r="L487" s="56">
        <v>2021</v>
      </c>
      <c r="M487" s="12" t="str">
        <f>HYPERLINK("http://www.shopcircle.co", "www.shopcircle.co")</f>
        <v>www.shopcircle.co</v>
      </c>
      <c r="N487" s="12" t="str">
        <f>HYPERLINK("https://my.pitchbook.com?c=481948-48", "View Company Online")</f>
        <v>View Company Online</v>
      </c>
    </row>
    <row r="488" spans="1:14" x14ac:dyDescent="0.35">
      <c r="A488" s="5" t="s">
        <v>1148</v>
      </c>
      <c r="B488" s="6" t="s">
        <v>1192</v>
      </c>
      <c r="C488" s="5" t="s">
        <v>31</v>
      </c>
      <c r="D488" s="31">
        <v>282.99</v>
      </c>
      <c r="E488" s="19">
        <v>45973</v>
      </c>
      <c r="F488" s="31">
        <v>500</v>
      </c>
      <c r="G488" s="19">
        <v>44711</v>
      </c>
      <c r="H488" s="43">
        <v>62</v>
      </c>
      <c r="I488" s="43">
        <v>31</v>
      </c>
      <c r="J488" s="5" t="s">
        <v>1149</v>
      </c>
      <c r="K488" s="5" t="s">
        <v>1150</v>
      </c>
      <c r="L488" s="55">
        <v>2013</v>
      </c>
      <c r="M488" s="11" t="str">
        <f>HYPERLINK("http://www.pixellot.tv", "www.pixellot.tv")</f>
        <v>www.pixellot.tv</v>
      </c>
      <c r="N488" s="11" t="str">
        <f>HYPERLINK("https://my.pitchbook.com?c=98877-07", "View Company Online")</f>
        <v>View Company Online</v>
      </c>
    </row>
    <row r="489" spans="1:14" x14ac:dyDescent="0.35">
      <c r="A489" s="6" t="s">
        <v>1151</v>
      </c>
      <c r="B489" s="6" t="s">
        <v>15</v>
      </c>
      <c r="C489" s="6" t="s">
        <v>22</v>
      </c>
      <c r="D489" s="32">
        <v>282.31</v>
      </c>
      <c r="E489" s="20">
        <v>45867</v>
      </c>
      <c r="F489" s="32">
        <v>510</v>
      </c>
      <c r="G489" s="20">
        <v>45867</v>
      </c>
      <c r="H489" s="44">
        <v>66</v>
      </c>
      <c r="I489" s="44">
        <v>27</v>
      </c>
      <c r="J489" s="6" t="s">
        <v>1152</v>
      </c>
      <c r="K489" s="6" t="s">
        <v>79</v>
      </c>
      <c r="L489" s="56">
        <v>2012</v>
      </c>
      <c r="M489" s="12" t="str">
        <f>HYPERLINK("http://www.appzen.com", "www.appzen.com")</f>
        <v>www.appzen.com</v>
      </c>
      <c r="N489" s="12" t="str">
        <f>HYPERLINK("https://my.pitchbook.com?c=99281-71", "View Company Online")</f>
        <v>View Company Online</v>
      </c>
    </row>
    <row r="490" spans="1:14" x14ac:dyDescent="0.35">
      <c r="A490" s="5" t="s">
        <v>1153</v>
      </c>
      <c r="B490" s="5" t="s">
        <v>15</v>
      </c>
      <c r="C490" s="5" t="s">
        <v>22</v>
      </c>
      <c r="D490" s="31">
        <v>282.10000000000002</v>
      </c>
      <c r="E490" s="19">
        <v>45615</v>
      </c>
      <c r="F490" s="31">
        <v>785</v>
      </c>
      <c r="G490" s="19">
        <v>45615</v>
      </c>
      <c r="H490" s="43">
        <v>10</v>
      </c>
      <c r="I490" s="43">
        <v>86</v>
      </c>
      <c r="J490" s="5" t="s">
        <v>1154</v>
      </c>
      <c r="K490" s="5" t="s">
        <v>42</v>
      </c>
      <c r="L490" s="55">
        <v>2018</v>
      </c>
      <c r="M490" s="11" t="str">
        <f>HYPERLINK("http://www.cresta.com", "www.cresta.com")</f>
        <v>www.cresta.com</v>
      </c>
      <c r="N490" s="11" t="str">
        <f>HYPERLINK("https://my.pitchbook.com?c=226300-60", "View Company Online")</f>
        <v>View Company Online</v>
      </c>
    </row>
    <row r="491" spans="1:14" x14ac:dyDescent="0.35">
      <c r="A491" s="6" t="s">
        <v>1155</v>
      </c>
      <c r="B491" s="6" t="s">
        <v>26</v>
      </c>
      <c r="C491" s="6" t="s">
        <v>55</v>
      </c>
      <c r="D491" s="32">
        <v>281.45</v>
      </c>
      <c r="E491" s="20">
        <v>45890</v>
      </c>
      <c r="F491" s="32">
        <v>152.65</v>
      </c>
      <c r="G491" s="20">
        <v>45663</v>
      </c>
      <c r="H491" s="44">
        <v>45</v>
      </c>
      <c r="I491" s="44">
        <v>51</v>
      </c>
      <c r="J491" s="6" t="s">
        <v>1156</v>
      </c>
      <c r="K491" s="6" t="s">
        <v>1157</v>
      </c>
      <c r="L491" s="56">
        <v>2015</v>
      </c>
      <c r="M491" s="12" t="str">
        <f>HYPERLINK("http://www.dexory.com", "www.dexory.com")</f>
        <v>www.dexory.com</v>
      </c>
      <c r="N491" s="12" t="str">
        <f>HYPERLINK("https://my.pitchbook.com?c=172587-61", "View Company Online")</f>
        <v>View Company Online</v>
      </c>
    </row>
    <row r="492" spans="1:14" x14ac:dyDescent="0.35">
      <c r="A492" s="5" t="s">
        <v>1158</v>
      </c>
      <c r="B492" s="6" t="s">
        <v>1192</v>
      </c>
      <c r="C492" s="5" t="s">
        <v>44</v>
      </c>
      <c r="D492" s="31">
        <v>281.3</v>
      </c>
      <c r="E492" s="19" t="s">
        <v>24</v>
      </c>
      <c r="F492" s="31">
        <v>1200</v>
      </c>
      <c r="G492" s="19">
        <v>44413</v>
      </c>
      <c r="H492" s="43">
        <v>40</v>
      </c>
      <c r="I492" s="43">
        <v>50</v>
      </c>
      <c r="J492" s="5" t="s">
        <v>1159</v>
      </c>
      <c r="K492" s="5" t="s">
        <v>18</v>
      </c>
      <c r="L492" s="55">
        <v>2011</v>
      </c>
      <c r="M492" s="11" t="str">
        <f>HYPERLINK("http://www.mindtickle.com", "www.mindtickle.com")</f>
        <v>www.mindtickle.com</v>
      </c>
      <c r="N492" s="11" t="str">
        <f>HYPERLINK("https://my.pitchbook.com?c=61965-82", "View Company Online")</f>
        <v>View Company Online</v>
      </c>
    </row>
    <row r="493" spans="1:14" x14ac:dyDescent="0.35">
      <c r="A493" s="6" t="s">
        <v>1160</v>
      </c>
      <c r="B493" s="6" t="s">
        <v>1192</v>
      </c>
      <c r="C493" s="6" t="s">
        <v>159</v>
      </c>
      <c r="D493" s="32">
        <v>281</v>
      </c>
      <c r="E493" s="20">
        <v>45995</v>
      </c>
      <c r="F493" s="32">
        <v>443</v>
      </c>
      <c r="G493" s="20">
        <v>45995</v>
      </c>
      <c r="H493" s="44">
        <v>79</v>
      </c>
      <c r="I493" s="44">
        <v>14</v>
      </c>
      <c r="J493" s="6" t="s">
        <v>1161</v>
      </c>
      <c r="K493" s="6" t="s">
        <v>916</v>
      </c>
      <c r="L493" s="56">
        <v>2021</v>
      </c>
      <c r="M493" s="12" t="str">
        <f>HYPERLINK("http://www.paradigmhealth.ai", "www.paradigmhealth.ai")</f>
        <v>www.paradigmhealth.ai</v>
      </c>
      <c r="N493" s="12" t="str">
        <f>HYPERLINK("https://my.pitchbook.com?c=519102-28", "View Company Online")</f>
        <v>View Company Online</v>
      </c>
    </row>
    <row r="494" spans="1:14" x14ac:dyDescent="0.35">
      <c r="A494" s="5" t="s">
        <v>1162</v>
      </c>
      <c r="B494" s="5" t="s">
        <v>39</v>
      </c>
      <c r="C494" s="5" t="s">
        <v>40</v>
      </c>
      <c r="D494" s="31">
        <v>280.5</v>
      </c>
      <c r="E494" s="19">
        <v>44258</v>
      </c>
      <c r="F494" s="31">
        <v>520.76</v>
      </c>
      <c r="G494" s="19">
        <v>44258</v>
      </c>
      <c r="H494" s="43">
        <v>55</v>
      </c>
      <c r="I494" s="43">
        <v>28</v>
      </c>
      <c r="J494" s="5" t="s">
        <v>1163</v>
      </c>
      <c r="K494" s="5" t="s">
        <v>1164</v>
      </c>
      <c r="L494" s="55">
        <v>2017</v>
      </c>
      <c r="M494" s="11" t="str">
        <f>HYPERLINK("http://www.xsightlabs.com", "www.xsightlabs.com")</f>
        <v>www.xsightlabs.com</v>
      </c>
      <c r="N494" s="11" t="str">
        <f>HYPERLINK("https://my.pitchbook.com?c=267279-85", "View Company Online")</f>
        <v>View Company Online</v>
      </c>
    </row>
    <row r="495" spans="1:14" x14ac:dyDescent="0.35">
      <c r="A495" s="6" t="s">
        <v>1165</v>
      </c>
      <c r="B495" s="6" t="s">
        <v>39</v>
      </c>
      <c r="C495" s="6" t="s">
        <v>70</v>
      </c>
      <c r="D495" s="32">
        <v>279.60000000000002</v>
      </c>
      <c r="E495" s="20">
        <v>46082</v>
      </c>
      <c r="F495" s="32">
        <v>610.95000000000005</v>
      </c>
      <c r="G495" s="20">
        <v>45153</v>
      </c>
      <c r="H495" s="44">
        <v>57</v>
      </c>
      <c r="I495" s="44">
        <v>31</v>
      </c>
      <c r="J495" s="6" t="s">
        <v>1166</v>
      </c>
      <c r="K495" s="6" t="s">
        <v>1167</v>
      </c>
      <c r="L495" s="56">
        <v>2011</v>
      </c>
      <c r="M495" s="12" t="str">
        <f>HYPERLINK("http://www.kandou.ai", "www.kandou.ai")</f>
        <v>www.kandou.ai</v>
      </c>
      <c r="N495" s="12" t="str">
        <f>HYPERLINK("https://my.pitchbook.com?c=98308-99", "View Company Online")</f>
        <v>View Company Online</v>
      </c>
    </row>
    <row r="496" spans="1:14" x14ac:dyDescent="0.35">
      <c r="A496" s="5" t="s">
        <v>1168</v>
      </c>
      <c r="B496" s="6" t="s">
        <v>1192</v>
      </c>
      <c r="C496" s="5" t="s">
        <v>48</v>
      </c>
      <c r="D496" s="31">
        <v>278.63</v>
      </c>
      <c r="E496" s="19">
        <v>45216</v>
      </c>
      <c r="F496" s="31">
        <v>1333.91</v>
      </c>
      <c r="G496" s="19">
        <v>45216</v>
      </c>
      <c r="H496" s="43">
        <v>80</v>
      </c>
      <c r="I496" s="43">
        <v>18</v>
      </c>
      <c r="J496" s="5" t="s">
        <v>1169</v>
      </c>
      <c r="K496" s="5" t="s">
        <v>90</v>
      </c>
      <c r="L496" s="55">
        <v>2008</v>
      </c>
      <c r="M496" s="11" t="str">
        <f>HYPERLINK("http://www.prove.com", "www.prove.com")</f>
        <v>www.prove.com</v>
      </c>
      <c r="N496" s="11" t="str">
        <f>HYPERLINK("https://my.pitchbook.com?c=48540-97", "View Company Online")</f>
        <v>View Company Online</v>
      </c>
    </row>
    <row r="497" spans="1:14" x14ac:dyDescent="0.35">
      <c r="A497" s="6" t="s">
        <v>1170</v>
      </c>
      <c r="B497" s="6" t="s">
        <v>39</v>
      </c>
      <c r="C497" s="6" t="s">
        <v>178</v>
      </c>
      <c r="D497" s="32">
        <v>277.08</v>
      </c>
      <c r="E497" s="20">
        <v>45454</v>
      </c>
      <c r="F497" s="32" t="s">
        <v>24</v>
      </c>
      <c r="G497" s="20" t="s">
        <v>24</v>
      </c>
      <c r="H497" s="44" t="s">
        <v>24</v>
      </c>
      <c r="I497" s="44" t="s">
        <v>24</v>
      </c>
      <c r="J497" s="6" t="s">
        <v>1171</v>
      </c>
      <c r="K497" s="6" t="s">
        <v>244</v>
      </c>
      <c r="L497" s="56">
        <v>2009</v>
      </c>
      <c r="M497" s="12" t="str">
        <f>HYPERLINK("http://www.aqara.com", "www.aqara.com")</f>
        <v>www.aqara.com</v>
      </c>
      <c r="N497" s="12" t="str">
        <f>HYPERLINK("https://my.pitchbook.com?c=223844-23", "View Company Online")</f>
        <v>View Company Online</v>
      </c>
    </row>
    <row r="498" spans="1:14" x14ac:dyDescent="0.35">
      <c r="A498" s="5" t="s">
        <v>1172</v>
      </c>
      <c r="B498" s="5" t="s">
        <v>39</v>
      </c>
      <c r="C498" s="5" t="s">
        <v>40</v>
      </c>
      <c r="D498" s="31">
        <v>277</v>
      </c>
      <c r="E498" s="19" t="s">
        <v>24</v>
      </c>
      <c r="F498" s="31" t="s">
        <v>24</v>
      </c>
      <c r="G498" s="19" t="s">
        <v>24</v>
      </c>
      <c r="H498" s="43">
        <v>88</v>
      </c>
      <c r="I498" s="43">
        <v>10</v>
      </c>
      <c r="J498" s="5" t="s">
        <v>1173</v>
      </c>
      <c r="K498" s="5" t="s">
        <v>122</v>
      </c>
      <c r="L498" s="55">
        <v>2018</v>
      </c>
      <c r="M498" s="11" t="str">
        <f>HYPERLINK("http://www.quera.com", "www.quera.com")</f>
        <v>www.quera.com</v>
      </c>
      <c r="N498" s="11" t="str">
        <f>HYPERLINK("https://my.pitchbook.com?c=327309-67", "View Company Online")</f>
        <v>View Company Online</v>
      </c>
    </row>
    <row r="499" spans="1:14" x14ac:dyDescent="0.35">
      <c r="A499" s="6" t="s">
        <v>1174</v>
      </c>
      <c r="B499" s="6" t="s">
        <v>26</v>
      </c>
      <c r="C499" s="6" t="s">
        <v>55</v>
      </c>
      <c r="D499" s="32">
        <v>276.18</v>
      </c>
      <c r="E499" s="20" t="s">
        <v>24</v>
      </c>
      <c r="F499" s="32">
        <v>257.33999999999997</v>
      </c>
      <c r="G499" s="20">
        <v>44830</v>
      </c>
      <c r="H499" s="44">
        <v>43</v>
      </c>
      <c r="I499" s="44">
        <v>44</v>
      </c>
      <c r="J499" s="6" t="s">
        <v>1175</v>
      </c>
      <c r="K499" s="6" t="s">
        <v>1176</v>
      </c>
      <c r="L499" s="56">
        <v>2014</v>
      </c>
      <c r="M499" s="12" t="str">
        <f>HYPERLINK("http://www.aerodyne.group", "www.aerodyne.group")</f>
        <v>www.aerodyne.group</v>
      </c>
      <c r="N499" s="12" t="str">
        <f>HYPERLINK("https://my.pitchbook.com?c=226652-77", "View Company Online")</f>
        <v>View Company Online</v>
      </c>
    </row>
    <row r="500" spans="1:14" x14ac:dyDescent="0.35">
      <c r="A500" s="5" t="s">
        <v>1177</v>
      </c>
      <c r="B500" s="6" t="s">
        <v>1192</v>
      </c>
      <c r="C500" s="5" t="s">
        <v>31</v>
      </c>
      <c r="D500" s="31">
        <v>276.10000000000002</v>
      </c>
      <c r="E500" s="19">
        <v>44712</v>
      </c>
      <c r="F500" s="31">
        <v>1000</v>
      </c>
      <c r="G500" s="19">
        <v>44712</v>
      </c>
      <c r="H500" s="43">
        <v>69</v>
      </c>
      <c r="I500" s="43">
        <v>18</v>
      </c>
      <c r="J500" s="5" t="s">
        <v>1178</v>
      </c>
      <c r="K500" s="5" t="s">
        <v>122</v>
      </c>
      <c r="L500" s="55">
        <v>2018</v>
      </c>
      <c r="M500" s="11" t="str">
        <f>HYPERLINK("http://www.vendr.com", "www.vendr.com")</f>
        <v>www.vendr.com</v>
      </c>
      <c r="N500" s="11" t="str">
        <f>HYPERLINK("https://my.pitchbook.com?c=179288-02", "View Company Online")</f>
        <v>View Company Online</v>
      </c>
    </row>
    <row r="501" spans="1:14" x14ac:dyDescent="0.35">
      <c r="A501" s="6" t="s">
        <v>1179</v>
      </c>
      <c r="B501" s="6" t="s">
        <v>1192</v>
      </c>
      <c r="C501" s="6" t="s">
        <v>31</v>
      </c>
      <c r="D501" s="32">
        <v>274.58999999999997</v>
      </c>
      <c r="E501" s="20">
        <v>45743</v>
      </c>
      <c r="F501" s="32">
        <v>200.69</v>
      </c>
      <c r="G501" s="20">
        <v>44328</v>
      </c>
      <c r="H501" s="44">
        <v>66</v>
      </c>
      <c r="I501" s="44">
        <v>32</v>
      </c>
      <c r="J501" s="6" t="s">
        <v>1180</v>
      </c>
      <c r="K501" s="6" t="s">
        <v>147</v>
      </c>
      <c r="L501" s="56">
        <v>2014</v>
      </c>
      <c r="M501" s="12" t="str">
        <f>HYPERLINK("http://www.holidu.com", "www.holidu.com")</f>
        <v>www.holidu.com</v>
      </c>
      <c r="N501" s="12" t="str">
        <f>HYPERLINK("https://my.pitchbook.com?c=101789-02", "View Company Online")</f>
        <v>View Company Online</v>
      </c>
    </row>
    <row r="502" spans="1:14" x14ac:dyDescent="0.35">
      <c r="A502" s="5" t="s">
        <v>1181</v>
      </c>
      <c r="B502" s="5" t="s">
        <v>26</v>
      </c>
      <c r="C502" s="5" t="s">
        <v>27</v>
      </c>
      <c r="D502" s="31">
        <v>273.49</v>
      </c>
      <c r="E502" s="19">
        <v>45923</v>
      </c>
      <c r="F502" s="31">
        <v>810</v>
      </c>
      <c r="G502" s="19">
        <v>44875</v>
      </c>
      <c r="H502" s="43">
        <v>20</v>
      </c>
      <c r="I502" s="43">
        <v>74</v>
      </c>
      <c r="J502" s="5" t="s">
        <v>1182</v>
      </c>
      <c r="K502" s="5" t="s">
        <v>29</v>
      </c>
      <c r="L502" s="55">
        <v>2017</v>
      </c>
      <c r="M502" s="11" t="str">
        <f>HYPERLINK("http://www.gatik.ai", "www.gatik.ai")</f>
        <v>www.gatik.ai</v>
      </c>
      <c r="N502" s="11" t="str">
        <f>HYPERLINK("https://my.pitchbook.com?c=221455-09", "View Company Online")</f>
        <v>View Company Online</v>
      </c>
    </row>
    <row r="503" spans="1:14" x14ac:dyDescent="0.35">
      <c r="A503" s="6" t="s">
        <v>1183</v>
      </c>
      <c r="B503" s="6" t="s">
        <v>1192</v>
      </c>
      <c r="C503" s="6" t="s">
        <v>36</v>
      </c>
      <c r="D503" s="32">
        <v>273.10000000000002</v>
      </c>
      <c r="E503" s="20">
        <v>45884</v>
      </c>
      <c r="F503" s="32">
        <v>185</v>
      </c>
      <c r="G503" s="20">
        <v>43544</v>
      </c>
      <c r="H503" s="44">
        <v>81</v>
      </c>
      <c r="I503" s="44">
        <v>17</v>
      </c>
      <c r="J503" s="6" t="s">
        <v>1184</v>
      </c>
      <c r="K503" s="6" t="s">
        <v>183</v>
      </c>
      <c r="L503" s="56">
        <v>1999</v>
      </c>
      <c r="M503" s="12" t="str">
        <f>HYPERLINK("http://www.movius.ai", "www.movius.ai")</f>
        <v>www.movius.ai</v>
      </c>
      <c r="N503" s="12" t="str">
        <f>HYPERLINK("https://my.pitchbook.com?c=42184-18", "View Company Online")</f>
        <v>View Company Online</v>
      </c>
    </row>
    <row r="504" spans="1:14" x14ac:dyDescent="0.35">
      <c r="A504" s="5" t="s">
        <v>1185</v>
      </c>
      <c r="B504" s="5" t="s">
        <v>15</v>
      </c>
      <c r="C504" s="5" t="s">
        <v>193</v>
      </c>
      <c r="D504" s="31">
        <v>272.8</v>
      </c>
      <c r="E504" s="19" t="s">
        <v>24</v>
      </c>
      <c r="F504" s="31">
        <v>108.06</v>
      </c>
      <c r="G504" s="19">
        <v>43307</v>
      </c>
      <c r="H504" s="43">
        <v>45</v>
      </c>
      <c r="I504" s="43">
        <v>29</v>
      </c>
      <c r="J504" s="5" t="s">
        <v>1186</v>
      </c>
      <c r="K504" s="5" t="s">
        <v>1187</v>
      </c>
      <c r="L504" s="55">
        <v>2009</v>
      </c>
      <c r="M504" s="11" t="str">
        <f>HYPERLINK("http://www.scandit.com", "www.scandit.com")</f>
        <v>www.scandit.com</v>
      </c>
      <c r="N504" s="11" t="str">
        <f>HYPERLINK("https://my.pitchbook.com?c=62118-10", "View Company Online")</f>
        <v>View Company Online</v>
      </c>
    </row>
    <row r="505" spans="1:14" x14ac:dyDescent="0.35">
      <c r="A505" s="6" t="s">
        <v>1188</v>
      </c>
      <c r="B505" s="6" t="s">
        <v>1192</v>
      </c>
      <c r="C505" s="6" t="s">
        <v>36</v>
      </c>
      <c r="D505" s="32">
        <v>272.7</v>
      </c>
      <c r="E505" s="20">
        <v>46013</v>
      </c>
      <c r="F505" s="32">
        <v>1300</v>
      </c>
      <c r="G505" s="20">
        <v>46013</v>
      </c>
      <c r="H505" s="44">
        <v>82</v>
      </c>
      <c r="I505" s="44">
        <v>16</v>
      </c>
      <c r="J505" s="6" t="s">
        <v>1189</v>
      </c>
      <c r="K505" s="6" t="s">
        <v>609</v>
      </c>
      <c r="L505" s="56">
        <v>2012</v>
      </c>
      <c r="M505" s="12" t="str">
        <f>HYPERLINK("http://www.tulip.co", "www.tulip.co")</f>
        <v>www.tulip.co</v>
      </c>
      <c r="N505" s="12" t="str">
        <f>HYPERLINK("https://my.pitchbook.com?c=167840-56", "View Company Online")</f>
        <v>View Company Online</v>
      </c>
    </row>
    <row r="506" spans="1:14" x14ac:dyDescent="0.35">
      <c r="A506" s="5" t="s">
        <v>1190</v>
      </c>
      <c r="B506" s="6" t="s">
        <v>1192</v>
      </c>
      <c r="C506" s="5" t="s">
        <v>48</v>
      </c>
      <c r="D506" s="31">
        <v>272.45999999999998</v>
      </c>
      <c r="E506" s="19">
        <v>46042</v>
      </c>
      <c r="F506" s="31">
        <v>2000</v>
      </c>
      <c r="G506" s="19">
        <v>45959</v>
      </c>
      <c r="H506" s="43" t="s">
        <v>24</v>
      </c>
      <c r="I506" s="43" t="s">
        <v>24</v>
      </c>
      <c r="J506" s="5" t="s">
        <v>1191</v>
      </c>
      <c r="K506" s="5" t="s">
        <v>76</v>
      </c>
      <c r="L506" s="55">
        <v>2015</v>
      </c>
      <c r="M506" s="11" t="str">
        <f>HYPERLINK("http://www.zerohash.com", "www.zerohash.com")</f>
        <v>www.zerohash.com</v>
      </c>
      <c r="N506" s="11" t="str">
        <f>HYPERLINK("https://my.pitchbook.com?c=126941-14", "View Company Online")</f>
        <v>View Company Online</v>
      </c>
    </row>
  </sheetData>
  <autoFilter ref="A6:N506" xr:uid="{00000000-0001-0000-0000-00000000000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2"/>
  <sheetViews>
    <sheetView workbookViewId="0"/>
  </sheetViews>
  <sheetFormatPr defaultRowHeight="14.5" x14ac:dyDescent="0.35"/>
  <sheetData>
    <row r="1" spans="1:1" x14ac:dyDescent="0.35">
      <c r="A1" s="5"/>
    </row>
    <row r="2" spans="1:1" x14ac:dyDescent="0.35">
      <c r="A2" s="6"/>
    </row>
    <row r="3" spans="1:1" x14ac:dyDescent="0.35">
      <c r="A3" s="7"/>
    </row>
    <row r="4" spans="1:1" x14ac:dyDescent="0.35">
      <c r="A4" s="8"/>
    </row>
    <row r="5" spans="1:1" x14ac:dyDescent="0.35">
      <c r="A5" s="9"/>
    </row>
    <row r="6" spans="1:1" x14ac:dyDescent="0.35">
      <c r="A6" s="10"/>
    </row>
    <row r="7" spans="1:1" x14ac:dyDescent="0.35">
      <c r="A7" s="11"/>
    </row>
    <row r="8" spans="1:1" x14ac:dyDescent="0.35">
      <c r="A8" s="12"/>
    </row>
    <row r="9" spans="1:1" x14ac:dyDescent="0.35">
      <c r="A9" s="13"/>
    </row>
    <row r="10" spans="1:1" x14ac:dyDescent="0.35">
      <c r="A10" s="14"/>
    </row>
    <row r="11" spans="1:1" x14ac:dyDescent="0.35">
      <c r="A11" s="15"/>
    </row>
    <row r="12" spans="1:1" x14ac:dyDescent="0.35">
      <c r="A12" s="16"/>
    </row>
    <row r="13" spans="1:1" x14ac:dyDescent="0.35">
      <c r="A13" s="5"/>
    </row>
    <row r="14" spans="1:1" x14ac:dyDescent="0.35">
      <c r="A14" s="6"/>
    </row>
    <row r="15" spans="1:1" x14ac:dyDescent="0.35">
      <c r="A15" s="7"/>
    </row>
    <row r="16" spans="1:1" x14ac:dyDescent="0.35">
      <c r="A16" s="8"/>
    </row>
    <row r="17" spans="1:1" x14ac:dyDescent="0.35">
      <c r="A17" s="9"/>
    </row>
    <row r="18" spans="1:1" x14ac:dyDescent="0.35">
      <c r="A18" s="10"/>
    </row>
    <row r="19" spans="1:1" x14ac:dyDescent="0.35">
      <c r="A19" s="11"/>
    </row>
    <row r="20" spans="1:1" x14ac:dyDescent="0.35">
      <c r="A20" s="12"/>
    </row>
    <row r="21" spans="1:1" x14ac:dyDescent="0.35">
      <c r="A21" s="13"/>
    </row>
    <row r="22" spans="1:1" x14ac:dyDescent="0.35">
      <c r="A22" s="14"/>
    </row>
    <row r="23" spans="1:1" x14ac:dyDescent="0.35">
      <c r="A23" s="15"/>
    </row>
    <row r="24" spans="1:1" x14ac:dyDescent="0.35">
      <c r="A24" s="16"/>
    </row>
    <row r="25" spans="1:1" x14ac:dyDescent="0.35">
      <c r="A25" s="17"/>
    </row>
    <row r="26" spans="1:1" x14ac:dyDescent="0.35">
      <c r="A26" s="18"/>
    </row>
    <row r="27" spans="1:1" x14ac:dyDescent="0.35">
      <c r="A27" s="19"/>
    </row>
    <row r="28" spans="1:1" x14ac:dyDescent="0.35">
      <c r="A28" s="20"/>
    </row>
    <row r="29" spans="1:1" x14ac:dyDescent="0.35">
      <c r="A29" s="21"/>
    </row>
    <row r="30" spans="1:1" x14ac:dyDescent="0.35">
      <c r="A30" s="22"/>
    </row>
    <row r="31" spans="1:1" x14ac:dyDescent="0.35">
      <c r="A31" s="23"/>
    </row>
    <row r="32" spans="1:1" x14ac:dyDescent="0.35">
      <c r="A32" s="24"/>
    </row>
    <row r="33" spans="1:1" x14ac:dyDescent="0.35">
      <c r="A33" s="25"/>
    </row>
    <row r="34" spans="1:1" x14ac:dyDescent="0.35">
      <c r="A34" s="26"/>
    </row>
    <row r="35" spans="1:1" x14ac:dyDescent="0.35">
      <c r="A35" s="27"/>
    </row>
    <row r="36" spans="1:1" x14ac:dyDescent="0.35">
      <c r="A36" s="28"/>
    </row>
    <row r="37" spans="1:1" x14ac:dyDescent="0.35">
      <c r="A37" s="29"/>
    </row>
    <row r="38" spans="1:1" x14ac:dyDescent="0.35">
      <c r="A38" s="30"/>
    </row>
    <row r="39" spans="1:1" x14ac:dyDescent="0.35">
      <c r="A39" s="31"/>
    </row>
    <row r="40" spans="1:1" x14ac:dyDescent="0.35">
      <c r="A40" s="32"/>
    </row>
    <row r="41" spans="1:1" x14ac:dyDescent="0.35">
      <c r="A41" s="33"/>
    </row>
    <row r="42" spans="1:1" x14ac:dyDescent="0.35">
      <c r="A42" s="34"/>
    </row>
    <row r="43" spans="1:1" x14ac:dyDescent="0.35">
      <c r="A43" s="35"/>
    </row>
    <row r="44" spans="1:1" x14ac:dyDescent="0.35">
      <c r="A44" s="36"/>
    </row>
    <row r="45" spans="1:1" x14ac:dyDescent="0.35">
      <c r="A45" s="37"/>
    </row>
    <row r="46" spans="1:1" x14ac:dyDescent="0.35">
      <c r="A46" s="38"/>
    </row>
    <row r="47" spans="1:1" x14ac:dyDescent="0.35">
      <c r="A47" s="39"/>
    </row>
    <row r="48" spans="1:1" x14ac:dyDescent="0.35">
      <c r="A48" s="40"/>
    </row>
    <row r="49" spans="1:1" x14ac:dyDescent="0.35">
      <c r="A49" s="41"/>
    </row>
    <row r="50" spans="1:1" x14ac:dyDescent="0.35">
      <c r="A50" s="42"/>
    </row>
    <row r="51" spans="1:1" x14ac:dyDescent="0.35">
      <c r="A51" s="43"/>
    </row>
    <row r="52" spans="1:1" x14ac:dyDescent="0.35">
      <c r="A52" s="44"/>
    </row>
    <row r="53" spans="1:1" x14ac:dyDescent="0.35">
      <c r="A53" s="45"/>
    </row>
    <row r="54" spans="1:1" x14ac:dyDescent="0.35">
      <c r="A54" s="46"/>
    </row>
    <row r="55" spans="1:1" x14ac:dyDescent="0.35">
      <c r="A55" s="47"/>
    </row>
    <row r="56" spans="1:1" x14ac:dyDescent="0.35">
      <c r="A56" s="48"/>
    </row>
    <row r="57" spans="1:1" x14ac:dyDescent="0.35">
      <c r="A57" s="49"/>
    </row>
    <row r="58" spans="1:1" x14ac:dyDescent="0.35">
      <c r="A58" s="50"/>
    </row>
    <row r="59" spans="1:1" x14ac:dyDescent="0.35">
      <c r="A59" s="51"/>
    </row>
    <row r="60" spans="1:1" x14ac:dyDescent="0.35">
      <c r="A60" s="52"/>
    </row>
    <row r="61" spans="1:1" x14ac:dyDescent="0.35">
      <c r="A61" s="53"/>
    </row>
    <row r="62" spans="1:1" x14ac:dyDescent="0.35">
      <c r="A62" s="54"/>
    </row>
    <row r="63" spans="1:1" x14ac:dyDescent="0.35">
      <c r="A63" s="55"/>
    </row>
    <row r="64" spans="1:1" x14ac:dyDescent="0.35">
      <c r="A64" s="56"/>
    </row>
    <row r="65" spans="1:1" x14ac:dyDescent="0.35">
      <c r="A65" s="57"/>
    </row>
    <row r="66" spans="1:1" x14ac:dyDescent="0.35">
      <c r="A66" s="58"/>
    </row>
    <row r="67" spans="1:1" x14ac:dyDescent="0.35">
      <c r="A67" s="59"/>
    </row>
    <row r="68" spans="1:1" x14ac:dyDescent="0.35">
      <c r="A68" s="60"/>
    </row>
    <row r="69" spans="1:1" x14ac:dyDescent="0.35">
      <c r="A69" s="61"/>
    </row>
    <row r="70" spans="1:1" x14ac:dyDescent="0.35">
      <c r="A70" s="62"/>
    </row>
    <row r="71" spans="1:1" x14ac:dyDescent="0.35">
      <c r="A71" s="63"/>
    </row>
    <row r="72" spans="1:1" x14ac:dyDescent="0.35">
      <c r="A72" s="6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James Thorne</cp:lastModifiedBy>
  <dcterms:created xsi:type="dcterms:W3CDTF">2026-03-20T16:44:26Z</dcterms:created>
  <dcterms:modified xsi:type="dcterms:W3CDTF">2026-03-20T16:49:00Z</dcterms:modified>
</cp:coreProperties>
</file>